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lark County 2009\Rate Filing\Gen Rate Incr 8-1-24\Non-Confidential\"/>
    </mc:Choice>
  </mc:AlternateContent>
  <xr:revisionPtr revIDLastSave="0" documentId="13_ncr:1_{DB61871A-E3CA-4038-B51D-992F46A0D1C1}" xr6:coauthVersionLast="47" xr6:coauthVersionMax="47" xr10:uidLastSave="{00000000-0000-0000-0000-000000000000}"/>
  <bookViews>
    <workbookView xWindow="-120" yWindow="-120" windowWidth="29040" windowHeight="15840" tabRatio="923" xr2:uid="{00000000-000D-0000-FFFF-FFFF00000000}"/>
  </bookViews>
  <sheets>
    <sheet name="Revenue Summary" sheetId="3" r:id="rId1"/>
    <sheet name="Customer Summary" sheetId="64" r:id="rId2"/>
    <sheet name="Non-Reg Container Counts" sheetId="98" r:id="rId3"/>
    <sheet name="Clark Co. Regulated - Price Out" sheetId="1" r:id="rId4"/>
    <sheet name="UTC Non-Reg Svc - Price Out " sheetId="5" r:id="rId5"/>
    <sheet name="Camas Non-Reg - Price Out" sheetId="6" r:id="rId6"/>
    <sheet name="Ridgefield Non-Reg - Price Out " sheetId="7" r:id="rId7"/>
    <sheet name="Vancouver Non-Reg - Price Out" sheetId="9" r:id="rId8"/>
    <sheet name="Washougal Non-Reg - Price Out" sheetId="16" r:id="rId9"/>
    <sheet name="West Van Non-Reg - Price Out" sheetId="18" r:id="rId10"/>
    <sheet name="Shred Non-Reg - Price Out" sheetId="33" r:id="rId11"/>
  </sheets>
  <definedNames>
    <definedName name="\D" localSheetId="2">#REF!</definedName>
    <definedName name="\D">#REF!</definedName>
    <definedName name="\S" localSheetId="2">#REF!</definedName>
    <definedName name="\S">#REF!</definedName>
    <definedName name="\Y" localSheetId="2">#REF!</definedName>
    <definedName name="\Y">#REF!</definedName>
    <definedName name="_ACT1" localSheetId="5">#REF!</definedName>
    <definedName name="_ACT1" localSheetId="3">#REF!</definedName>
    <definedName name="_ACT1" localSheetId="6">#REF!</definedName>
    <definedName name="_ACT1" localSheetId="10">#REF!</definedName>
    <definedName name="_ACT1" localSheetId="4">#REF!</definedName>
    <definedName name="_ACT1" localSheetId="8">#REF!</definedName>
    <definedName name="_ACT1" localSheetId="9">#REF!</definedName>
    <definedName name="_ACT1">#REF!</definedName>
    <definedName name="_ACT2" localSheetId="5">#REF!</definedName>
    <definedName name="_ACT2" localSheetId="3">#REF!</definedName>
    <definedName name="_ACT2" localSheetId="6">#REF!</definedName>
    <definedName name="_ACT2" localSheetId="10">#REF!</definedName>
    <definedName name="_ACT2" localSheetId="4">#REF!</definedName>
    <definedName name="_ACT2" localSheetId="8">#REF!</definedName>
    <definedName name="_ACT2" localSheetId="9">#REF!</definedName>
    <definedName name="_ACT2">#REF!</definedName>
    <definedName name="_ACT3" localSheetId="5">#REF!</definedName>
    <definedName name="_ACT3" localSheetId="3">#REF!</definedName>
    <definedName name="_ACT3" localSheetId="6">#REF!</definedName>
    <definedName name="_ACT3" localSheetId="10">#REF!</definedName>
    <definedName name="_ACT3" localSheetId="4">#REF!</definedName>
    <definedName name="_ACT3" localSheetId="8">#REF!</definedName>
    <definedName name="_ACT3" localSheetId="9">#REF!</definedName>
    <definedName name="_ACT3">#REF!</definedName>
    <definedName name="_xlnm._FilterDatabase" localSheetId="3" hidden="1">'Clark Co. Regulated - Price Out'!$A$5:$AH$288</definedName>
    <definedName name="Accounts">#REF!</definedName>
    <definedName name="ACCT" localSheetId="5">#REF!</definedName>
    <definedName name="ACCT" localSheetId="3">#REF!</definedName>
    <definedName name="ACCT" localSheetId="6">#REF!</definedName>
    <definedName name="ACCT" localSheetId="10">#REF!</definedName>
    <definedName name="ACCT" localSheetId="4">#REF!</definedName>
    <definedName name="ACCT" localSheetId="8">#REF!</definedName>
    <definedName name="ACCT" localSheetId="9">#REF!</definedName>
    <definedName name="ACCT">#REF!</definedName>
    <definedName name="ACT_CUR" localSheetId="5">#REF!</definedName>
    <definedName name="ACT_CUR" localSheetId="3">#REF!</definedName>
    <definedName name="ACT_CUR" localSheetId="6">#REF!</definedName>
    <definedName name="ACT_CUR" localSheetId="10">#REF!</definedName>
    <definedName name="ACT_CUR" localSheetId="4">#REF!</definedName>
    <definedName name="ACT_CUR" localSheetId="8">#REF!</definedName>
    <definedName name="ACT_CUR" localSheetId="9">#REF!</definedName>
    <definedName name="ACT_CUR">#REF!</definedName>
    <definedName name="ACT_YTD" localSheetId="5">#REF!</definedName>
    <definedName name="ACT_YTD" localSheetId="3">#REF!</definedName>
    <definedName name="ACT_YTD" localSheetId="6">#REF!</definedName>
    <definedName name="ACT_YTD" localSheetId="10">#REF!</definedName>
    <definedName name="ACT_YTD" localSheetId="4">#REF!</definedName>
    <definedName name="ACT_YTD" localSheetId="8">#REF!</definedName>
    <definedName name="ACT_YTD" localSheetId="9">#REF!</definedName>
    <definedName name="ACT_YTD">#REF!</definedName>
    <definedName name="AmountCount" localSheetId="5">#REF!</definedName>
    <definedName name="AmountCount" localSheetId="3">#REF!</definedName>
    <definedName name="AmountCount" localSheetId="6">#REF!</definedName>
    <definedName name="AmountCount" localSheetId="10">#REF!</definedName>
    <definedName name="AmountCount" localSheetId="4">#REF!</definedName>
    <definedName name="AmountCount" localSheetId="8">#REF!</definedName>
    <definedName name="AmountCount" localSheetId="9">#REF!</definedName>
    <definedName name="AmountCount">#REF!</definedName>
    <definedName name="AmountFrom">#REF!</definedName>
    <definedName name="AmountTo">#REF!</definedName>
    <definedName name="AmountTotal" localSheetId="5">#REF!</definedName>
    <definedName name="AmountTotal" localSheetId="3">#REF!</definedName>
    <definedName name="AmountTotal" localSheetId="6">#REF!</definedName>
    <definedName name="AmountTotal" localSheetId="10">#REF!</definedName>
    <definedName name="AmountTotal" localSheetId="4">#REF!</definedName>
    <definedName name="AmountTotal" localSheetId="8">#REF!</definedName>
    <definedName name="AmountTotal" localSheetId="9">#REF!</definedName>
    <definedName name="AmountTotal">#REF!</definedName>
    <definedName name="BREMAIR_COST_of_SERVICE_STUDY" localSheetId="5">#REF!</definedName>
    <definedName name="BREMAIR_COST_of_SERVICE_STUDY" localSheetId="3">#REF!</definedName>
    <definedName name="BREMAIR_COST_of_SERVICE_STUDY" localSheetId="6">#REF!</definedName>
    <definedName name="BREMAIR_COST_of_SERVICE_STUDY" localSheetId="10">#REF!</definedName>
    <definedName name="BREMAIR_COST_of_SERVICE_STUDY" localSheetId="4">#REF!</definedName>
    <definedName name="BREMAIR_COST_of_SERVICE_STUDY" localSheetId="8">#REF!</definedName>
    <definedName name="BREMAIR_COST_of_SERVICE_STUDY" localSheetId="9">#REF!</definedName>
    <definedName name="BREMAIR_COST_of_SERVICE_STUDY">#REF!</definedName>
    <definedName name="BUD_CUR" localSheetId="5">#REF!</definedName>
    <definedName name="BUD_CUR" localSheetId="3">#REF!</definedName>
    <definedName name="BUD_CUR" localSheetId="6">#REF!</definedName>
    <definedName name="BUD_CUR" localSheetId="10">#REF!</definedName>
    <definedName name="BUD_CUR" localSheetId="4">#REF!</definedName>
    <definedName name="BUD_CUR" localSheetId="8">#REF!</definedName>
    <definedName name="BUD_CUR" localSheetId="9">#REF!</definedName>
    <definedName name="BUD_CUR">#REF!</definedName>
    <definedName name="BUD_YTD" localSheetId="5">#REF!</definedName>
    <definedName name="BUD_YTD" localSheetId="3">#REF!</definedName>
    <definedName name="BUD_YTD" localSheetId="6">#REF!</definedName>
    <definedName name="BUD_YTD" localSheetId="10">#REF!</definedName>
    <definedName name="BUD_YTD" localSheetId="4">#REF!</definedName>
    <definedName name="BUD_YTD" localSheetId="8">#REF!</definedName>
    <definedName name="BUD_YTD" localSheetId="9">#REF!</definedName>
    <definedName name="BUD_YTD">#REF!</definedName>
    <definedName name="CheckTotals" localSheetId="5">#REF!</definedName>
    <definedName name="CheckTotals" localSheetId="3">#REF!</definedName>
    <definedName name="CheckTotals" localSheetId="6">#REF!</definedName>
    <definedName name="CheckTotals" localSheetId="10">#REF!</definedName>
    <definedName name="CheckTotals" localSheetId="4">#REF!</definedName>
    <definedName name="CheckTotals" localSheetId="8">#REF!</definedName>
    <definedName name="CheckTotals" localSheetId="9">#REF!</definedName>
    <definedName name="CheckTotals">#REF!</definedName>
    <definedName name="CRCTable" localSheetId="5">#REF!</definedName>
    <definedName name="CRCTable" localSheetId="3">#REF!</definedName>
    <definedName name="CRCTable" localSheetId="6">#REF!</definedName>
    <definedName name="CRCTable" localSheetId="10">#REF!</definedName>
    <definedName name="CRCTable" localSheetId="4">#REF!</definedName>
    <definedName name="CRCTable" localSheetId="8">#REF!</definedName>
    <definedName name="CRCTable" localSheetId="9">#REF!</definedName>
    <definedName name="CRCTable">#REF!</definedName>
    <definedName name="CRCTableOLD" localSheetId="5">#REF!</definedName>
    <definedName name="CRCTableOLD" localSheetId="3">#REF!</definedName>
    <definedName name="CRCTableOLD" localSheetId="6">#REF!</definedName>
    <definedName name="CRCTableOLD" localSheetId="10">#REF!</definedName>
    <definedName name="CRCTableOLD" localSheetId="4">#REF!</definedName>
    <definedName name="CRCTableOLD" localSheetId="8">#REF!</definedName>
    <definedName name="CRCTableOLD" localSheetId="9">#REF!</definedName>
    <definedName name="CRCTableOLD">#REF!</definedName>
    <definedName name="CriteriaType">#REF!</definedName>
    <definedName name="CurrentMonth" localSheetId="1">#REF!</definedName>
    <definedName name="CurrentMonth">#REF!</definedName>
    <definedName name="Cutomers" localSheetId="5">#REF!</definedName>
    <definedName name="Cutomers" localSheetId="3">#REF!</definedName>
    <definedName name="Cutomers" localSheetId="6">#REF!</definedName>
    <definedName name="Cutomers" localSheetId="10">#REF!</definedName>
    <definedName name="Cutomers" localSheetId="4">#REF!</definedName>
    <definedName name="Cutomers" localSheetId="8">#REF!</definedName>
    <definedName name="Cutomers" localSheetId="9">#REF!</definedName>
    <definedName name="Cutomers">#REF!</definedName>
    <definedName name="_xlnm.Database" localSheetId="5">#REF!</definedName>
    <definedName name="_xlnm.Database" localSheetId="3">#REF!</definedName>
    <definedName name="_xlnm.Database" localSheetId="6">#REF!</definedName>
    <definedName name="_xlnm.Database" localSheetId="10">#REF!</definedName>
    <definedName name="_xlnm.Database" localSheetId="4">#REF!</definedName>
    <definedName name="_xlnm.Database" localSheetId="8">#REF!</definedName>
    <definedName name="_xlnm.Database" localSheetId="9">#REF!</definedName>
    <definedName name="_xlnm.Database">#REF!</definedName>
    <definedName name="Database1" localSheetId="5">#REF!</definedName>
    <definedName name="Database1" localSheetId="3">#REF!</definedName>
    <definedName name="Database1" localSheetId="6">#REF!</definedName>
    <definedName name="Database1" localSheetId="10">#REF!</definedName>
    <definedName name="Database1" localSheetId="4">#REF!</definedName>
    <definedName name="Database1" localSheetId="8">#REF!</definedName>
    <definedName name="Database1" localSheetId="9">#REF!</definedName>
    <definedName name="Database1">#REF!</definedName>
    <definedName name="DateFrom" localSheetId="1">#REF!</definedName>
    <definedName name="DateFrom">#REF!</definedName>
    <definedName name="DateRange">#REF!</definedName>
    <definedName name="DateTo" localSheetId="1">#REF!</definedName>
    <definedName name="DateTo">#REF!</definedName>
    <definedName name="DEPT" localSheetId="5">#REF!</definedName>
    <definedName name="DEPT" localSheetId="3">#REF!</definedName>
    <definedName name="DEPT" localSheetId="6">#REF!</definedName>
    <definedName name="DEPT" localSheetId="10">#REF!</definedName>
    <definedName name="DEPT" localSheetId="4">#REF!</definedName>
    <definedName name="DEPT" localSheetId="8">#REF!</definedName>
    <definedName name="DEPT" localSheetId="9">#REF!</definedName>
    <definedName name="DEPT">#REF!</definedName>
    <definedName name="DistrictNum" localSheetId="5">#REF!</definedName>
    <definedName name="DistrictNum" localSheetId="3">#REF!</definedName>
    <definedName name="DistrictNum" localSheetId="6">#REF!</definedName>
    <definedName name="DistrictNum" localSheetId="10">#REF!</definedName>
    <definedName name="DistrictNum" localSheetId="4">#REF!</definedName>
    <definedName name="DistrictNum" localSheetId="8">#REF!</definedName>
    <definedName name="DistrictNum" localSheetId="9">#REF!</definedName>
    <definedName name="DistrictNum">#REF!</definedName>
    <definedName name="Districts">#REF!</definedName>
    <definedName name="End" localSheetId="5">#REF!</definedName>
    <definedName name="End" localSheetId="3">#REF!</definedName>
    <definedName name="End" localSheetId="6">#REF!</definedName>
    <definedName name="End" localSheetId="10">#REF!</definedName>
    <definedName name="End" localSheetId="4">#REF!</definedName>
    <definedName name="End" localSheetId="8">#REF!</definedName>
    <definedName name="End" localSheetId="9">#REF!</definedName>
    <definedName name="End">#REF!</definedName>
    <definedName name="EntrieShownLimit" localSheetId="1">#REF!</definedName>
    <definedName name="EntrieShownLimit">#REF!</definedName>
    <definedName name="FBTable" localSheetId="5">#REF!</definedName>
    <definedName name="FBTable" localSheetId="3">#REF!</definedName>
    <definedName name="FBTable" localSheetId="6">#REF!</definedName>
    <definedName name="FBTable" localSheetId="10">#REF!</definedName>
    <definedName name="FBTable" localSheetId="4">#REF!</definedName>
    <definedName name="FBTable" localSheetId="8">#REF!</definedName>
    <definedName name="FBTable" localSheetId="9">#REF!</definedName>
    <definedName name="FBTable">#REF!</definedName>
    <definedName name="FBTableOld" localSheetId="5">#REF!</definedName>
    <definedName name="FBTableOld" localSheetId="3">#REF!</definedName>
    <definedName name="FBTableOld" localSheetId="6">#REF!</definedName>
    <definedName name="FBTableOld" localSheetId="10">#REF!</definedName>
    <definedName name="FBTableOld" localSheetId="4">#REF!</definedName>
    <definedName name="FBTableOld" localSheetId="8">#REF!</definedName>
    <definedName name="FBTableOld" localSheetId="9">#REF!</definedName>
    <definedName name="FBTableOld">#REF!</definedName>
    <definedName name="FromMonth">#REF!</definedName>
    <definedName name="GLMappingStart" localSheetId="5">#REF!</definedName>
    <definedName name="GLMappingStart" localSheetId="3">#REF!</definedName>
    <definedName name="GLMappingStart" localSheetId="6">#REF!</definedName>
    <definedName name="GLMappingStart" localSheetId="10">#REF!</definedName>
    <definedName name="GLMappingStart" localSheetId="4">#REF!</definedName>
    <definedName name="GLMappingStart" localSheetId="8">#REF!</definedName>
    <definedName name="GLMappingStart" localSheetId="9">#REF!</definedName>
    <definedName name="GLMappingStart">#REF!</definedName>
    <definedName name="IncomeStmnt" localSheetId="5">#REF!</definedName>
    <definedName name="IncomeStmnt" localSheetId="3">#REF!</definedName>
    <definedName name="IncomeStmnt" localSheetId="6">#REF!</definedName>
    <definedName name="IncomeStmnt" localSheetId="10">#REF!</definedName>
    <definedName name="IncomeStmnt" localSheetId="4">#REF!</definedName>
    <definedName name="IncomeStmnt" localSheetId="8">#REF!</definedName>
    <definedName name="IncomeStmnt" localSheetId="9">#REF!</definedName>
    <definedName name="IncomeStmnt">#REF!</definedName>
    <definedName name="INPUT" localSheetId="5">#REF!</definedName>
    <definedName name="INPUT" localSheetId="3">#REF!</definedName>
    <definedName name="INPUT" localSheetId="6">#REF!</definedName>
    <definedName name="INPUT" localSheetId="10">#REF!</definedName>
    <definedName name="INPUT" localSheetId="4">#REF!</definedName>
    <definedName name="INPUT" localSheetId="8">#REF!</definedName>
    <definedName name="INPUT" localSheetId="9">#REF!</definedName>
    <definedName name="INPUT">#REF!</definedName>
    <definedName name="Insurance" localSheetId="5">#REF!</definedName>
    <definedName name="Insurance" localSheetId="6">#REF!</definedName>
    <definedName name="Insurance" localSheetId="10">#REF!</definedName>
    <definedName name="Insurance" localSheetId="4">#REF!</definedName>
    <definedName name="Insurance" localSheetId="8">#REF!</definedName>
    <definedName name="Insurance" localSheetId="9">#REF!</definedName>
    <definedName name="Insurance">#REF!</definedName>
    <definedName name="Interject_LastPulledValues_BalanceRange">#REF!</definedName>
    <definedName name="Interject_LastPulledValues_DescriptionRange">#REF!</definedName>
    <definedName name="Interject_LastPulledValues_LastChangeGUID">#REF!</definedName>
    <definedName name="Interject_LastPulledValues_PreviousLastChangeGUID">#REF!</definedName>
    <definedName name="JEDetail" localSheetId="5">#REF!</definedName>
    <definedName name="JEDetail" localSheetId="3">#REF!</definedName>
    <definedName name="JEDetail" localSheetId="6">#REF!</definedName>
    <definedName name="JEDetail" localSheetId="10">#REF!</definedName>
    <definedName name="JEDetail" localSheetId="4">#REF!</definedName>
    <definedName name="JEDetail" localSheetId="8">#REF!</definedName>
    <definedName name="JEDetail" localSheetId="9">#REF!</definedName>
    <definedName name="JEDetail">#REF!</definedName>
    <definedName name="JEType" localSheetId="5">#REF!</definedName>
    <definedName name="JEType" localSheetId="3">#REF!</definedName>
    <definedName name="JEType" localSheetId="6">#REF!</definedName>
    <definedName name="JEType" localSheetId="10">#REF!</definedName>
    <definedName name="JEType" localSheetId="4">#REF!</definedName>
    <definedName name="JEType" localSheetId="8">#REF!</definedName>
    <definedName name="JEType" localSheetId="9">#REF!</definedName>
    <definedName name="JEType">#REF!</definedName>
    <definedName name="lblBillAreaStatus" localSheetId="5">#REF!</definedName>
    <definedName name="lblBillAreaStatus" localSheetId="3">#REF!</definedName>
    <definedName name="lblBillAreaStatus" localSheetId="6">#REF!</definedName>
    <definedName name="lblBillAreaStatus" localSheetId="10">#REF!</definedName>
    <definedName name="lblBillAreaStatus" localSheetId="4">#REF!</definedName>
    <definedName name="lblBillAreaStatus" localSheetId="8">#REF!</definedName>
    <definedName name="lblBillAreaStatus" localSheetId="9">#REF!</definedName>
    <definedName name="lblBillAreaStatus">#REF!</definedName>
    <definedName name="lblBillCycleStatus" localSheetId="5">#REF!</definedName>
    <definedName name="lblBillCycleStatus" localSheetId="3">#REF!</definedName>
    <definedName name="lblBillCycleStatus" localSheetId="6">#REF!</definedName>
    <definedName name="lblBillCycleStatus" localSheetId="10">#REF!</definedName>
    <definedName name="lblBillCycleStatus" localSheetId="4">#REF!</definedName>
    <definedName name="lblBillCycleStatus" localSheetId="8">#REF!</definedName>
    <definedName name="lblBillCycleStatus" localSheetId="9">#REF!</definedName>
    <definedName name="lblBillCycleStatus">#REF!</definedName>
    <definedName name="lblCategoryStatus" localSheetId="5">#REF!</definedName>
    <definedName name="lblCategoryStatus" localSheetId="3">#REF!</definedName>
    <definedName name="lblCategoryStatus" localSheetId="6">#REF!</definedName>
    <definedName name="lblCategoryStatus" localSheetId="10">#REF!</definedName>
    <definedName name="lblCategoryStatus" localSheetId="4">#REF!</definedName>
    <definedName name="lblCategoryStatus" localSheetId="8">#REF!</definedName>
    <definedName name="lblCategoryStatus" localSheetId="9">#REF!</definedName>
    <definedName name="lblCategoryStatus">#REF!</definedName>
    <definedName name="lblCompanyStatus" localSheetId="5">#REF!</definedName>
    <definedName name="lblCompanyStatus" localSheetId="3">#REF!</definedName>
    <definedName name="lblCompanyStatus" localSheetId="6">#REF!</definedName>
    <definedName name="lblCompanyStatus" localSheetId="10">#REF!</definedName>
    <definedName name="lblCompanyStatus" localSheetId="4">#REF!</definedName>
    <definedName name="lblCompanyStatus" localSheetId="8">#REF!</definedName>
    <definedName name="lblCompanyStatus" localSheetId="9">#REF!</definedName>
    <definedName name="lblCompanyStatus">#REF!</definedName>
    <definedName name="lblDatabaseStatus" localSheetId="5">#REF!</definedName>
    <definedName name="lblDatabaseStatus" localSheetId="3">#REF!</definedName>
    <definedName name="lblDatabaseStatus" localSheetId="6">#REF!</definedName>
    <definedName name="lblDatabaseStatus" localSheetId="10">#REF!</definedName>
    <definedName name="lblDatabaseStatus" localSheetId="4">#REF!</definedName>
    <definedName name="lblDatabaseStatus" localSheetId="8">#REF!</definedName>
    <definedName name="lblDatabaseStatus" localSheetId="9">#REF!</definedName>
    <definedName name="lblDatabaseStatus">#REF!</definedName>
    <definedName name="lblPullStatus" localSheetId="5">#REF!</definedName>
    <definedName name="lblPullStatus" localSheetId="3">#REF!</definedName>
    <definedName name="lblPullStatus" localSheetId="6">#REF!</definedName>
    <definedName name="lblPullStatus" localSheetId="10">#REF!</definedName>
    <definedName name="lblPullStatus" localSheetId="4">#REF!</definedName>
    <definedName name="lblPullStatus" localSheetId="8">#REF!</definedName>
    <definedName name="lblPullStatus" localSheetId="9">#REF!</definedName>
    <definedName name="lblPullStatus">#REF!</definedName>
    <definedName name="lllllllllllllllllllll" localSheetId="5">#REF!</definedName>
    <definedName name="lllllllllllllllllllll" localSheetId="3">#REF!</definedName>
    <definedName name="lllllllllllllllllllll" localSheetId="6">#REF!</definedName>
    <definedName name="lllllllllllllllllllll" localSheetId="10">#REF!</definedName>
    <definedName name="lllllllllllllllllllll" localSheetId="4">#REF!</definedName>
    <definedName name="lllllllllllllllllllll" localSheetId="8">#REF!</definedName>
    <definedName name="lllllllllllllllllllll" localSheetId="9">#REF!</definedName>
    <definedName name="lllllllllllllllllllll">#REF!</definedName>
    <definedName name="MainDataEnd" localSheetId="5">#REF!</definedName>
    <definedName name="MainDataEnd" localSheetId="3">#REF!</definedName>
    <definedName name="MainDataEnd" localSheetId="6">#REF!</definedName>
    <definedName name="MainDataEnd" localSheetId="10">#REF!</definedName>
    <definedName name="MainDataEnd" localSheetId="4">#REF!</definedName>
    <definedName name="MainDataEnd" localSheetId="8">#REF!</definedName>
    <definedName name="MainDataEnd" localSheetId="9">#REF!</definedName>
    <definedName name="MainDataEnd">#REF!</definedName>
    <definedName name="MainDataStart" localSheetId="5">#REF!</definedName>
    <definedName name="MainDataStart" localSheetId="3">#REF!</definedName>
    <definedName name="MainDataStart" localSheetId="6">#REF!</definedName>
    <definedName name="MainDataStart" localSheetId="10">#REF!</definedName>
    <definedName name="MainDataStart" localSheetId="4">#REF!</definedName>
    <definedName name="MainDataStart" localSheetId="8">#REF!</definedName>
    <definedName name="MainDataStart" localSheetId="9">#REF!</definedName>
    <definedName name="MainDataStart">#REF!</definedName>
    <definedName name="MapKeyStart" localSheetId="5">#REF!</definedName>
    <definedName name="MapKeyStart" localSheetId="3">#REF!</definedName>
    <definedName name="MapKeyStart" localSheetId="6">#REF!</definedName>
    <definedName name="MapKeyStart" localSheetId="10">#REF!</definedName>
    <definedName name="MapKeyStart" localSheetId="4">#REF!</definedName>
    <definedName name="MapKeyStart" localSheetId="8">#REF!</definedName>
    <definedName name="MapKeyStart" localSheetId="9">#REF!</definedName>
    <definedName name="MapKeyStart">#REF!</definedName>
    <definedName name="master_def" localSheetId="5">#REF!</definedName>
    <definedName name="master_def" localSheetId="3">#REF!</definedName>
    <definedName name="master_def" localSheetId="6">#REF!</definedName>
    <definedName name="master_def" localSheetId="10">#REF!</definedName>
    <definedName name="master_def" localSheetId="4">#REF!</definedName>
    <definedName name="master_def" localSheetId="8">#REF!</definedName>
    <definedName name="master_def" localSheetId="9">#REF!</definedName>
    <definedName name="master_def">#REF!</definedName>
    <definedName name="MILTON">#REF!</definedName>
    <definedName name="NewOnlyOrg">#N/A</definedName>
    <definedName name="NOTES" localSheetId="5">#REF!</definedName>
    <definedName name="NOTES" localSheetId="3">#REF!</definedName>
    <definedName name="NOTES" localSheetId="6">#REF!</definedName>
    <definedName name="NOTES" localSheetId="10">#REF!</definedName>
    <definedName name="NOTES" localSheetId="4">#REF!</definedName>
    <definedName name="NOTES" localSheetId="8">#REF!</definedName>
    <definedName name="NOTES" localSheetId="9">#REF!</definedName>
    <definedName name="NOTES">#REF!</definedName>
    <definedName name="OfficerSalary">#N/A</definedName>
    <definedName name="OffsetAcctBil" localSheetId="1">#REF!</definedName>
    <definedName name="OffsetAcctBil">#REF!</definedName>
    <definedName name="OffsetAcctPmt" localSheetId="1">#REF!</definedName>
    <definedName name="OffsetAcctPmt">#REF!</definedName>
    <definedName name="Org11_13">#N/A</definedName>
    <definedName name="Org7_10">#N/A</definedName>
    <definedName name="p" localSheetId="5">#REF!</definedName>
    <definedName name="p" localSheetId="6">#REF!</definedName>
    <definedName name="p" localSheetId="10">#REF!</definedName>
    <definedName name="p" localSheetId="4">#REF!</definedName>
    <definedName name="p" localSheetId="8">#REF!</definedName>
    <definedName name="p" localSheetId="9">#REF!</definedName>
    <definedName name="p">#REF!</definedName>
    <definedName name="PAGE_1" localSheetId="5">#REF!</definedName>
    <definedName name="PAGE_1" localSheetId="3">#REF!</definedName>
    <definedName name="PAGE_1" localSheetId="6">#REF!</definedName>
    <definedName name="PAGE_1" localSheetId="10">#REF!</definedName>
    <definedName name="PAGE_1" localSheetId="4">#REF!</definedName>
    <definedName name="PAGE_1" localSheetId="8">#REF!</definedName>
    <definedName name="PAGE_1" localSheetId="9">#REF!</definedName>
    <definedName name="PAGE_1">#REF!</definedName>
    <definedName name="pBatchID" localSheetId="5">#REF!</definedName>
    <definedName name="pBatchID" localSheetId="3">#REF!</definedName>
    <definedName name="pBatchID" localSheetId="6">#REF!</definedName>
    <definedName name="pBatchID" localSheetId="10">#REF!</definedName>
    <definedName name="pBatchID" localSheetId="4">#REF!</definedName>
    <definedName name="pBatchID" localSheetId="8">#REF!</definedName>
    <definedName name="pBatchID" localSheetId="9">#REF!</definedName>
    <definedName name="pBatchID">#REF!</definedName>
    <definedName name="pBillArea" localSheetId="5">#REF!</definedName>
    <definedName name="pBillArea" localSheetId="3">#REF!</definedName>
    <definedName name="pBillArea" localSheetId="6">#REF!</definedName>
    <definedName name="pBillArea" localSheetId="10">#REF!</definedName>
    <definedName name="pBillArea" localSheetId="4">#REF!</definedName>
    <definedName name="pBillArea" localSheetId="8">#REF!</definedName>
    <definedName name="pBillArea" localSheetId="9">#REF!</definedName>
    <definedName name="pBillArea">#REF!</definedName>
    <definedName name="pBillCycle" localSheetId="5">#REF!</definedName>
    <definedName name="pBillCycle" localSheetId="3">#REF!</definedName>
    <definedName name="pBillCycle" localSheetId="6">#REF!</definedName>
    <definedName name="pBillCycle" localSheetId="10">#REF!</definedName>
    <definedName name="pBillCycle" localSheetId="4">#REF!</definedName>
    <definedName name="pBillCycle" localSheetId="8">#REF!</definedName>
    <definedName name="pBillCycle" localSheetId="9">#REF!</definedName>
    <definedName name="pBillCycle">#REF!</definedName>
    <definedName name="pCategory" localSheetId="5">#REF!</definedName>
    <definedName name="pCategory" localSheetId="3">#REF!</definedName>
    <definedName name="pCategory" localSheetId="6">#REF!</definedName>
    <definedName name="pCategory" localSheetId="10">#REF!</definedName>
    <definedName name="pCategory" localSheetId="4">#REF!</definedName>
    <definedName name="pCategory" localSheetId="8">#REF!</definedName>
    <definedName name="pCategory" localSheetId="9">#REF!</definedName>
    <definedName name="pCategory">#REF!</definedName>
    <definedName name="pCompany" localSheetId="5">#REF!</definedName>
    <definedName name="pCompany" localSheetId="3">#REF!</definedName>
    <definedName name="pCompany" localSheetId="6">#REF!</definedName>
    <definedName name="pCompany" localSheetId="10">#REF!</definedName>
    <definedName name="pCompany" localSheetId="4">#REF!</definedName>
    <definedName name="pCompany" localSheetId="8">#REF!</definedName>
    <definedName name="pCompany" localSheetId="9">#REF!</definedName>
    <definedName name="pCompany">#REF!</definedName>
    <definedName name="pCustomerNumber" localSheetId="5">#REF!</definedName>
    <definedName name="pCustomerNumber" localSheetId="3">#REF!</definedName>
    <definedName name="pCustomerNumber" localSheetId="6">#REF!</definedName>
    <definedName name="pCustomerNumber" localSheetId="10">#REF!</definedName>
    <definedName name="pCustomerNumber" localSheetId="4">#REF!</definedName>
    <definedName name="pCustomerNumber" localSheetId="8">#REF!</definedName>
    <definedName name="pCustomerNumber" localSheetId="9">#REF!</definedName>
    <definedName name="pCustomerNumber">#REF!</definedName>
    <definedName name="pDatabase" localSheetId="5">#REF!</definedName>
    <definedName name="pDatabase" localSheetId="3">#REF!</definedName>
    <definedName name="pDatabase" localSheetId="6">#REF!</definedName>
    <definedName name="pDatabase" localSheetId="10">#REF!</definedName>
    <definedName name="pDatabase" localSheetId="4">#REF!</definedName>
    <definedName name="pDatabase" localSheetId="8">#REF!</definedName>
    <definedName name="pDatabase" localSheetId="9">#REF!</definedName>
    <definedName name="pDatabase">#REF!</definedName>
    <definedName name="pEndPostDate" localSheetId="5">#REF!</definedName>
    <definedName name="pEndPostDate" localSheetId="3">#REF!</definedName>
    <definedName name="pEndPostDate" localSheetId="6">#REF!</definedName>
    <definedName name="pEndPostDate" localSheetId="10">#REF!</definedName>
    <definedName name="pEndPostDate" localSheetId="4">#REF!</definedName>
    <definedName name="pEndPostDate" localSheetId="8">#REF!</definedName>
    <definedName name="pEndPostDate" localSheetId="9">#REF!</definedName>
    <definedName name="pEndPostDate">#REF!</definedName>
    <definedName name="Period" localSheetId="5">#REF!</definedName>
    <definedName name="Period" localSheetId="3">#REF!</definedName>
    <definedName name="Period" localSheetId="6">#REF!</definedName>
    <definedName name="Period" localSheetId="10">#REF!</definedName>
    <definedName name="Period" localSheetId="4">#REF!</definedName>
    <definedName name="Period" localSheetId="8">#REF!</definedName>
    <definedName name="Period" localSheetId="9">#REF!</definedName>
    <definedName name="Period">#REF!</definedName>
    <definedName name="pMonth" localSheetId="5">#REF!</definedName>
    <definedName name="pMonth" localSheetId="3">#REF!</definedName>
    <definedName name="pMonth" localSheetId="6">#REF!</definedName>
    <definedName name="pMonth" localSheetId="10">#REF!</definedName>
    <definedName name="pMonth" localSheetId="4">#REF!</definedName>
    <definedName name="pMonth" localSheetId="8">#REF!</definedName>
    <definedName name="pMonth" localSheetId="9">#REF!</definedName>
    <definedName name="pMonth">#REF!</definedName>
    <definedName name="pOnlyShowLastTranx" localSheetId="5">#REF!</definedName>
    <definedName name="pOnlyShowLastTranx" localSheetId="3">#REF!</definedName>
    <definedName name="pOnlyShowLastTranx" localSheetId="6">#REF!</definedName>
    <definedName name="pOnlyShowLastTranx" localSheetId="10">#REF!</definedName>
    <definedName name="pOnlyShowLastTranx" localSheetId="4">#REF!</definedName>
    <definedName name="pOnlyShowLastTranx" localSheetId="8">#REF!</definedName>
    <definedName name="pOnlyShowLastTranx" localSheetId="9">#REF!</definedName>
    <definedName name="pOnlyShowLastTranx">#REF!</definedName>
    <definedName name="Posting">#REF!</definedName>
    <definedName name="_xlnm.Print_Area" localSheetId="5">'Camas Non-Reg - Price Out'!$C$1:$AV$172</definedName>
    <definedName name="_xlnm.Print_Area" localSheetId="3">'Clark Co. Regulated - Price Out'!$A$1:$AR$293</definedName>
    <definedName name="_xlnm.Print_Area" localSheetId="2">'Non-Reg Container Counts'!$A$1:$C$27</definedName>
    <definedName name="_xlnm.Print_Area" localSheetId="0">'Revenue Summary'!$A$1:$U$30</definedName>
    <definedName name="_xlnm.Print_Area" localSheetId="6">'Ridgefield Non-Reg - Price Out '!$C$1:$AS$252</definedName>
    <definedName name="_xlnm.Print_Area" localSheetId="10">#REF!</definedName>
    <definedName name="_xlnm.Print_Area" localSheetId="4">'UTC Non-Reg Svc - Price Out '!$B:$AW</definedName>
    <definedName name="_xlnm.Print_Area" localSheetId="7">'Vancouver Non-Reg - Price Out'!$C$1:$AW$456</definedName>
    <definedName name="_xlnm.Print_Area" localSheetId="8">'Washougal Non-Reg - Price Out'!$C$1:$AV$242</definedName>
    <definedName name="_xlnm.Print_Area" localSheetId="9">'West Van Non-Reg - Price Out'!$C$1:$AT$62</definedName>
    <definedName name="_xlnm.Print_Area">#REF!</definedName>
    <definedName name="Print_Area_MI" localSheetId="5">#REF!</definedName>
    <definedName name="Print_Area_MI" localSheetId="3">#REF!</definedName>
    <definedName name="Print_Area_MI" localSheetId="6">#REF!</definedName>
    <definedName name="Print_Area_MI" localSheetId="10">#REF!</definedName>
    <definedName name="Print_Area_MI" localSheetId="4">#REF!</definedName>
    <definedName name="Print_Area_MI" localSheetId="8">#REF!</definedName>
    <definedName name="Print_Area_MI" localSheetId="9">#REF!</definedName>
    <definedName name="Print_Area_MI">#REF!</definedName>
    <definedName name="Print_Area1" localSheetId="5">#REF!</definedName>
    <definedName name="Print_Area1" localSheetId="3">#REF!</definedName>
    <definedName name="Print_Area1" localSheetId="6">#REF!</definedName>
    <definedName name="Print_Area1" localSheetId="10">#REF!</definedName>
    <definedName name="Print_Area1" localSheetId="4">#REF!</definedName>
    <definedName name="Print_Area1" localSheetId="8">#REF!</definedName>
    <definedName name="Print_Area1" localSheetId="9">#REF!</definedName>
    <definedName name="Print_Area1">#REF!</definedName>
    <definedName name="Print_Area2" localSheetId="5">#REF!</definedName>
    <definedName name="Print_Area2" localSheetId="3">#REF!</definedName>
    <definedName name="Print_Area2" localSheetId="6">#REF!</definedName>
    <definedName name="Print_Area2" localSheetId="10">#REF!</definedName>
    <definedName name="Print_Area2" localSheetId="4">#REF!</definedName>
    <definedName name="Print_Area2" localSheetId="8">#REF!</definedName>
    <definedName name="Print_Area2" localSheetId="9">#REF!</definedName>
    <definedName name="Print_Area2">#REF!</definedName>
    <definedName name="Print_Area3" localSheetId="5">#REF!</definedName>
    <definedName name="Print_Area3" localSheetId="3">#REF!</definedName>
    <definedName name="Print_Area3" localSheetId="6">#REF!</definedName>
    <definedName name="Print_Area3" localSheetId="10">#REF!</definedName>
    <definedName name="Print_Area3" localSheetId="4">#REF!</definedName>
    <definedName name="Print_Area3" localSheetId="8">#REF!</definedName>
    <definedName name="Print_Area3" localSheetId="9">#REF!</definedName>
    <definedName name="Print_Area3">#REF!</definedName>
    <definedName name="Print_Area5" localSheetId="5">#REF!</definedName>
    <definedName name="Print_Area5" localSheetId="3">#REF!</definedName>
    <definedName name="Print_Area5" localSheetId="6">#REF!</definedName>
    <definedName name="Print_Area5" localSheetId="10">#REF!</definedName>
    <definedName name="Print_Area5" localSheetId="4">#REF!</definedName>
    <definedName name="Print_Area5" localSheetId="8">#REF!</definedName>
    <definedName name="Print_Area5" localSheetId="9">#REF!</definedName>
    <definedName name="Print_Area5">#REF!</definedName>
    <definedName name="_xlnm.Print_Titles" localSheetId="5">'Camas Non-Reg - Price Out'!$D:$D,'Camas Non-Reg - Price Out'!$1:$5</definedName>
    <definedName name="_xlnm.Print_Titles" localSheetId="3">'Clark Co. Regulated - Price Out'!$B:$B,'Clark Co. Regulated - Price Out'!$1:$5</definedName>
    <definedName name="_xlnm.Print_Titles" localSheetId="6">'Ridgefield Non-Reg - Price Out '!$D:$D,'Ridgefield Non-Reg - Price Out '!$1:$5</definedName>
    <definedName name="_xlnm.Print_Titles" localSheetId="4">'UTC Non-Reg Svc - Price Out '!$C:$C,'UTC Non-Reg Svc - Price Out '!$1:$5</definedName>
    <definedName name="Print1" localSheetId="5">#REF!</definedName>
    <definedName name="Print1" localSheetId="3">#REF!</definedName>
    <definedName name="Print1" localSheetId="6">#REF!</definedName>
    <definedName name="Print1" localSheetId="10">#REF!</definedName>
    <definedName name="Print1" localSheetId="4">#REF!</definedName>
    <definedName name="Print1" localSheetId="8">#REF!</definedName>
    <definedName name="Print1" localSheetId="9">#REF!</definedName>
    <definedName name="Print1">#REF!</definedName>
    <definedName name="Print2" localSheetId="5">#REF!</definedName>
    <definedName name="Print2" localSheetId="3">#REF!</definedName>
    <definedName name="Print2" localSheetId="6">#REF!</definedName>
    <definedName name="Print2" localSheetId="10">#REF!</definedName>
    <definedName name="Print2" localSheetId="4">#REF!</definedName>
    <definedName name="Print2" localSheetId="8">#REF!</definedName>
    <definedName name="Print2" localSheetId="9">#REF!</definedName>
    <definedName name="Print2">#REF!</definedName>
    <definedName name="Print5" localSheetId="5">#REF!</definedName>
    <definedName name="Print5" localSheetId="3">#REF!</definedName>
    <definedName name="Print5" localSheetId="6">#REF!</definedName>
    <definedName name="Print5" localSheetId="10">#REF!</definedName>
    <definedName name="Print5" localSheetId="4">#REF!</definedName>
    <definedName name="Print5" localSheetId="8">#REF!</definedName>
    <definedName name="Print5" localSheetId="9">#REF!</definedName>
    <definedName name="Print5">#REF!</definedName>
    <definedName name="pServer" localSheetId="5">#REF!</definedName>
    <definedName name="pServer" localSheetId="3">#REF!</definedName>
    <definedName name="pServer" localSheetId="6">#REF!</definedName>
    <definedName name="pServer" localSheetId="10">#REF!</definedName>
    <definedName name="pServer" localSheetId="4">#REF!</definedName>
    <definedName name="pServer" localSheetId="8">#REF!</definedName>
    <definedName name="pServer" localSheetId="9">#REF!</definedName>
    <definedName name="pServer">#REF!</definedName>
    <definedName name="pServiceCode" localSheetId="5">#REF!</definedName>
    <definedName name="pServiceCode" localSheetId="3">#REF!</definedName>
    <definedName name="pServiceCode" localSheetId="6">#REF!</definedName>
    <definedName name="pServiceCode" localSheetId="10">#REF!</definedName>
    <definedName name="pServiceCode" localSheetId="4">#REF!</definedName>
    <definedName name="pServiceCode" localSheetId="8">#REF!</definedName>
    <definedName name="pServiceCode" localSheetId="9">#REF!</definedName>
    <definedName name="pServiceCode">#REF!</definedName>
    <definedName name="pShowAllUnposted" localSheetId="5">#REF!</definedName>
    <definedName name="pShowAllUnposted" localSheetId="3">#REF!</definedName>
    <definedName name="pShowAllUnposted" localSheetId="6">#REF!</definedName>
    <definedName name="pShowAllUnposted" localSheetId="10">#REF!</definedName>
    <definedName name="pShowAllUnposted" localSheetId="4">#REF!</definedName>
    <definedName name="pShowAllUnposted" localSheetId="8">#REF!</definedName>
    <definedName name="pShowAllUnposted" localSheetId="9">#REF!</definedName>
    <definedName name="pShowAllUnposted">#REF!</definedName>
    <definedName name="pShowCustomerDetail" localSheetId="5">#REF!</definedName>
    <definedName name="pShowCustomerDetail" localSheetId="3">#REF!</definedName>
    <definedName name="pShowCustomerDetail" localSheetId="6">#REF!</definedName>
    <definedName name="pShowCustomerDetail" localSheetId="10">#REF!</definedName>
    <definedName name="pShowCustomerDetail" localSheetId="4">#REF!</definedName>
    <definedName name="pShowCustomerDetail" localSheetId="8">#REF!</definedName>
    <definedName name="pShowCustomerDetail" localSheetId="9">#REF!</definedName>
    <definedName name="pShowCustomerDetail">#REF!</definedName>
    <definedName name="pSortOption" localSheetId="5">#REF!</definedName>
    <definedName name="pSortOption" localSheetId="3">#REF!</definedName>
    <definedName name="pSortOption" localSheetId="6">#REF!</definedName>
    <definedName name="pSortOption" localSheetId="10">#REF!</definedName>
    <definedName name="pSortOption" localSheetId="4">#REF!</definedName>
    <definedName name="pSortOption" localSheetId="8">#REF!</definedName>
    <definedName name="pSortOption" localSheetId="9">#REF!</definedName>
    <definedName name="pSortOption">#REF!</definedName>
    <definedName name="pStartPostDate" localSheetId="5">#REF!</definedName>
    <definedName name="pStartPostDate" localSheetId="3">#REF!</definedName>
    <definedName name="pStartPostDate" localSheetId="6">#REF!</definedName>
    <definedName name="pStartPostDate" localSheetId="10">#REF!</definedName>
    <definedName name="pStartPostDate" localSheetId="4">#REF!</definedName>
    <definedName name="pStartPostDate" localSheetId="8">#REF!</definedName>
    <definedName name="pStartPostDate" localSheetId="9">#REF!</definedName>
    <definedName name="pStartPostDate">#REF!</definedName>
    <definedName name="pTransType" localSheetId="5">#REF!</definedName>
    <definedName name="pTransType" localSheetId="3">#REF!</definedName>
    <definedName name="pTransType" localSheetId="6">#REF!</definedName>
    <definedName name="pTransType" localSheetId="10">#REF!</definedName>
    <definedName name="pTransType" localSheetId="4">#REF!</definedName>
    <definedName name="pTransType" localSheetId="8">#REF!</definedName>
    <definedName name="pTransType" localSheetId="9">#REF!</definedName>
    <definedName name="pTransType">#REF!</definedName>
    <definedName name="RCW_81.04.080">#N/A</definedName>
    <definedName name="RecyDisposal">#N/A</definedName>
    <definedName name="RelatedSalary">#N/A</definedName>
    <definedName name="ReportNames" localSheetId="1">#REF!</definedName>
    <definedName name="ReportNames">#REF!</definedName>
    <definedName name="RetainedEarnings" localSheetId="5">#REF!</definedName>
    <definedName name="RetainedEarnings" localSheetId="6">#REF!</definedName>
    <definedName name="RetainedEarnings" localSheetId="10">#REF!</definedName>
    <definedName name="RetainedEarnings" localSheetId="4">#REF!</definedName>
    <definedName name="RetainedEarnings" localSheetId="8">#REF!</definedName>
    <definedName name="RetainedEarnings" localSheetId="9">#REF!</definedName>
    <definedName name="RetainedEarnings">#REF!</definedName>
    <definedName name="RevCust" localSheetId="5">#REF!</definedName>
    <definedName name="RevCust" localSheetId="3">#REF!</definedName>
    <definedName name="RevCust" localSheetId="6">#REF!</definedName>
    <definedName name="RevCust" localSheetId="10">#REF!</definedName>
    <definedName name="RevCust" localSheetId="4">#REF!</definedName>
    <definedName name="RevCust" localSheetId="8">#REF!</definedName>
    <definedName name="RevCust" localSheetId="9">#REF!</definedName>
    <definedName name="RevCust">#REF!</definedName>
    <definedName name="sortcol" localSheetId="5">#REF!</definedName>
    <definedName name="sortcol" localSheetId="3">#REF!</definedName>
    <definedName name="sortcol" localSheetId="6">#REF!</definedName>
    <definedName name="sortcol" localSheetId="10">#REF!</definedName>
    <definedName name="sortcol" localSheetId="4">#REF!</definedName>
    <definedName name="sortcol" localSheetId="8">#REF!</definedName>
    <definedName name="sortcol" localSheetId="9">#REF!</definedName>
    <definedName name="sortcol">#REF!</definedName>
    <definedName name="sSRCDate" localSheetId="5">#REF!</definedName>
    <definedName name="sSRCDate" localSheetId="6">#REF!</definedName>
    <definedName name="sSRCDate" localSheetId="10">#REF!</definedName>
    <definedName name="sSRCDate" localSheetId="4">#REF!</definedName>
    <definedName name="sSRCDate" localSheetId="8">#REF!</definedName>
    <definedName name="sSRCDate" localSheetId="9">#REF!</definedName>
    <definedName name="sSRCDate">#REF!</definedName>
    <definedName name="SubSystem">#REF!</definedName>
    <definedName name="SubSystems">#REF!</definedName>
    <definedName name="SWDisposal">#N/A</definedName>
    <definedName name="System">#REF!</definedName>
    <definedName name="Systems">#REF!</definedName>
    <definedName name="TemplateEnd" localSheetId="5">#REF!</definedName>
    <definedName name="TemplateEnd" localSheetId="3">#REF!</definedName>
    <definedName name="TemplateEnd" localSheetId="1">#REF!</definedName>
    <definedName name="TemplateEnd" localSheetId="6">#REF!</definedName>
    <definedName name="TemplateEnd" localSheetId="10">#REF!</definedName>
    <definedName name="TemplateEnd" localSheetId="4">#REF!</definedName>
    <definedName name="TemplateEnd" localSheetId="8">#REF!</definedName>
    <definedName name="TemplateEnd" localSheetId="9">#REF!</definedName>
    <definedName name="TemplateEnd">#REF!</definedName>
    <definedName name="TemplateStart" localSheetId="5">#REF!</definedName>
    <definedName name="TemplateStart" localSheetId="3">#REF!</definedName>
    <definedName name="TemplateStart" localSheetId="1">#REF!</definedName>
    <definedName name="TemplateStart" localSheetId="6">#REF!</definedName>
    <definedName name="TemplateStart" localSheetId="10">#REF!</definedName>
    <definedName name="TemplateStart" localSheetId="4">#REF!</definedName>
    <definedName name="TemplateStart" localSheetId="8">#REF!</definedName>
    <definedName name="TemplateStart" localSheetId="9">#REF!</definedName>
    <definedName name="TemplateStart">#REF!</definedName>
    <definedName name="TheTable" localSheetId="5">#REF!</definedName>
    <definedName name="TheTable" localSheetId="3">#REF!</definedName>
    <definedName name="TheTable" localSheetId="6">#REF!</definedName>
    <definedName name="TheTable" localSheetId="10">#REF!</definedName>
    <definedName name="TheTable" localSheetId="4">#REF!</definedName>
    <definedName name="TheTable" localSheetId="8">#REF!</definedName>
    <definedName name="TheTable" localSheetId="9">#REF!</definedName>
    <definedName name="TheTable">#REF!</definedName>
    <definedName name="TheTableOLD" localSheetId="5">#REF!</definedName>
    <definedName name="TheTableOLD" localSheetId="3">#REF!</definedName>
    <definedName name="TheTableOLD" localSheetId="6">#REF!</definedName>
    <definedName name="TheTableOLD" localSheetId="10">#REF!</definedName>
    <definedName name="TheTableOLD" localSheetId="4">#REF!</definedName>
    <definedName name="TheTableOLD" localSheetId="8">#REF!</definedName>
    <definedName name="TheTableOLD" localSheetId="9">#REF!</definedName>
    <definedName name="TheTableOLD">#REF!</definedName>
    <definedName name="ToMonth">#REF!</definedName>
    <definedName name="Transactions" localSheetId="5">#REF!</definedName>
    <definedName name="Transactions" localSheetId="3">#REF!</definedName>
    <definedName name="Transactions" localSheetId="6">#REF!</definedName>
    <definedName name="Transactions" localSheetId="10">#REF!</definedName>
    <definedName name="Transactions" localSheetId="4">#REF!</definedName>
    <definedName name="Transactions" localSheetId="8">#REF!</definedName>
    <definedName name="Transactions" localSheetId="9">#REF!</definedName>
    <definedName name="Transactions">#REF!</definedName>
    <definedName name="VendorCode">#REF!</definedName>
    <definedName name="WTable" localSheetId="5">#REF!</definedName>
    <definedName name="WTable" localSheetId="3">#REF!</definedName>
    <definedName name="WTable" localSheetId="6">#REF!</definedName>
    <definedName name="WTable" localSheetId="10">#REF!</definedName>
    <definedName name="WTable" localSheetId="4">#REF!</definedName>
    <definedName name="WTable" localSheetId="8">#REF!</definedName>
    <definedName name="WTable" localSheetId="9">#REF!</definedName>
    <definedName name="WTable">#REF!</definedName>
    <definedName name="WTableOld" localSheetId="5">#REF!</definedName>
    <definedName name="WTableOld" localSheetId="3">#REF!</definedName>
    <definedName name="WTableOld" localSheetId="6">#REF!</definedName>
    <definedName name="WTableOld" localSheetId="10">#REF!</definedName>
    <definedName name="WTableOld" localSheetId="4">#REF!</definedName>
    <definedName name="WTableOld" localSheetId="8">#REF!</definedName>
    <definedName name="WTableOld" localSheetId="9">#REF!</definedName>
    <definedName name="WTableOld">#REF!</definedName>
    <definedName name="xtabin" localSheetId="5">#REF!</definedName>
    <definedName name="xtabin" localSheetId="3">#REF!</definedName>
    <definedName name="xtabin" localSheetId="6">#REF!</definedName>
    <definedName name="xtabin" localSheetId="10">#REF!</definedName>
    <definedName name="xtabin" localSheetId="4">#REF!</definedName>
    <definedName name="xtabin" localSheetId="8">#REF!</definedName>
    <definedName name="xtabin" localSheetId="9">#REF!</definedName>
    <definedName name="xtabin">#REF!</definedName>
    <definedName name="xx" localSheetId="5">#REF!</definedName>
    <definedName name="xx" localSheetId="3">#REF!</definedName>
    <definedName name="xx" localSheetId="6">#REF!</definedName>
    <definedName name="xx" localSheetId="10">#REF!</definedName>
    <definedName name="xx" localSheetId="4">#REF!</definedName>
    <definedName name="xx" localSheetId="8">#REF!</definedName>
    <definedName name="xx" localSheetId="9">#REF!</definedName>
    <definedName name="xx">#REF!</definedName>
    <definedName name="YWMedWasteDisp">#N/A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2" i="6" l="1"/>
  <c r="AH32" i="6"/>
  <c r="AF32" i="6"/>
  <c r="AE32" i="6"/>
  <c r="AD32" i="6"/>
  <c r="AC32" i="6"/>
  <c r="AB32" i="6"/>
  <c r="AA32" i="6"/>
  <c r="Z32" i="6"/>
  <c r="Y32" i="6"/>
  <c r="X32" i="6"/>
  <c r="W32" i="6"/>
  <c r="AH220" i="16"/>
  <c r="AG220" i="16"/>
  <c r="AF220" i="16"/>
  <c r="AE220" i="16"/>
  <c r="AD220" i="16"/>
  <c r="AC220" i="16"/>
  <c r="AB220" i="16"/>
  <c r="AA220" i="16"/>
  <c r="Z220" i="16"/>
  <c r="Y220" i="16"/>
  <c r="X220" i="16"/>
  <c r="W220" i="16"/>
  <c r="AH219" i="16"/>
  <c r="AG219" i="16"/>
  <c r="AF219" i="16"/>
  <c r="AE219" i="16"/>
  <c r="AD219" i="16"/>
  <c r="AC219" i="16"/>
  <c r="AB219" i="16"/>
  <c r="AA219" i="16"/>
  <c r="Z219" i="16"/>
  <c r="Y219" i="16"/>
  <c r="X219" i="16"/>
  <c r="W219" i="16"/>
  <c r="AH218" i="16"/>
  <c r="AG218" i="16"/>
  <c r="AF218" i="16"/>
  <c r="AE218" i="16"/>
  <c r="AD218" i="16"/>
  <c r="AC218" i="16"/>
  <c r="AB218" i="16"/>
  <c r="AA218" i="16"/>
  <c r="Z218" i="16"/>
  <c r="Y218" i="16"/>
  <c r="X218" i="16"/>
  <c r="W218" i="16"/>
  <c r="AH217" i="16"/>
  <c r="AG217" i="16"/>
  <c r="AF217" i="16"/>
  <c r="AE217" i="16"/>
  <c r="AD217" i="16"/>
  <c r="AC217" i="16"/>
  <c r="AB217" i="16"/>
  <c r="AA217" i="16"/>
  <c r="Z217" i="16"/>
  <c r="Y217" i="16"/>
  <c r="X217" i="16"/>
  <c r="W217" i="16"/>
  <c r="AH216" i="16"/>
  <c r="AG216" i="16"/>
  <c r="AF216" i="16"/>
  <c r="AE216" i="16"/>
  <c r="AD216" i="16"/>
  <c r="AC216" i="16"/>
  <c r="AB216" i="16"/>
  <c r="AA216" i="16"/>
  <c r="Z216" i="16"/>
  <c r="Y216" i="16"/>
  <c r="X216" i="16"/>
  <c r="W216" i="16"/>
  <c r="AH215" i="16"/>
  <c r="AG215" i="16"/>
  <c r="AF215" i="16"/>
  <c r="AE215" i="16"/>
  <c r="AD215" i="16"/>
  <c r="AC215" i="16"/>
  <c r="AB215" i="16"/>
  <c r="AA215" i="16"/>
  <c r="Z215" i="16"/>
  <c r="Y215" i="16"/>
  <c r="X215" i="16"/>
  <c r="W215" i="16"/>
  <c r="AH214" i="16"/>
  <c r="AG214" i="16"/>
  <c r="AF214" i="16"/>
  <c r="AE214" i="16"/>
  <c r="AD214" i="16"/>
  <c r="AC214" i="16"/>
  <c r="AB214" i="16"/>
  <c r="AA214" i="16"/>
  <c r="Z214" i="16"/>
  <c r="Y214" i="16"/>
  <c r="X214" i="16"/>
  <c r="W214" i="16"/>
  <c r="AH213" i="16"/>
  <c r="AG213" i="16"/>
  <c r="AF213" i="16"/>
  <c r="AE213" i="16"/>
  <c r="AD213" i="16"/>
  <c r="AC213" i="16"/>
  <c r="AB213" i="16"/>
  <c r="AA213" i="16"/>
  <c r="Z213" i="16"/>
  <c r="Y213" i="16"/>
  <c r="X213" i="16"/>
  <c r="W213" i="16"/>
  <c r="AH208" i="16"/>
  <c r="AG208" i="16"/>
  <c r="AF208" i="16"/>
  <c r="AE208" i="16"/>
  <c r="AD208" i="16"/>
  <c r="AC208" i="16"/>
  <c r="AB208" i="16"/>
  <c r="AA208" i="16"/>
  <c r="Z208" i="16"/>
  <c r="Y208" i="16"/>
  <c r="X208" i="16"/>
  <c r="W208" i="16"/>
  <c r="AH207" i="16"/>
  <c r="AG207" i="16"/>
  <c r="AF207" i="16"/>
  <c r="AE207" i="16"/>
  <c r="AD207" i="16"/>
  <c r="AC207" i="16"/>
  <c r="AB207" i="16"/>
  <c r="AA207" i="16"/>
  <c r="Z207" i="16"/>
  <c r="Y207" i="16"/>
  <c r="X207" i="16"/>
  <c r="W207" i="16"/>
  <c r="AH206" i="16"/>
  <c r="AG206" i="16"/>
  <c r="AF206" i="16"/>
  <c r="AE206" i="16"/>
  <c r="AD206" i="16"/>
  <c r="AC206" i="16"/>
  <c r="AB206" i="16"/>
  <c r="AA206" i="16"/>
  <c r="Z206" i="16"/>
  <c r="Y206" i="16"/>
  <c r="X206" i="16"/>
  <c r="W206" i="16"/>
  <c r="AH205" i="16"/>
  <c r="AG205" i="16"/>
  <c r="AF205" i="16"/>
  <c r="AE205" i="16"/>
  <c r="AD205" i="16"/>
  <c r="AC205" i="16"/>
  <c r="AB205" i="16"/>
  <c r="AA205" i="16"/>
  <c r="Z205" i="16"/>
  <c r="Y205" i="16"/>
  <c r="X205" i="16"/>
  <c r="W205" i="16"/>
  <c r="AH204" i="16"/>
  <c r="AG204" i="16"/>
  <c r="AF204" i="16"/>
  <c r="AE204" i="16"/>
  <c r="AD204" i="16"/>
  <c r="AC204" i="16"/>
  <c r="AB204" i="16"/>
  <c r="AA204" i="16"/>
  <c r="Z204" i="16"/>
  <c r="Y204" i="16"/>
  <c r="X204" i="16"/>
  <c r="W204" i="16"/>
  <c r="AH203" i="16"/>
  <c r="AG203" i="16"/>
  <c r="AF203" i="16"/>
  <c r="AE203" i="16"/>
  <c r="AD203" i="16"/>
  <c r="AC203" i="16"/>
  <c r="AB203" i="16"/>
  <c r="AA203" i="16"/>
  <c r="Z203" i="16"/>
  <c r="Y203" i="16"/>
  <c r="X203" i="16"/>
  <c r="W203" i="16"/>
  <c r="AH202" i="16"/>
  <c r="AG202" i="16"/>
  <c r="AF202" i="16"/>
  <c r="AE202" i="16"/>
  <c r="AD202" i="16"/>
  <c r="AC202" i="16"/>
  <c r="AB202" i="16"/>
  <c r="AA202" i="16"/>
  <c r="Z202" i="16"/>
  <c r="Y202" i="16"/>
  <c r="X202" i="16"/>
  <c r="W202" i="16"/>
  <c r="AH201" i="16"/>
  <c r="AG201" i="16"/>
  <c r="AF201" i="16"/>
  <c r="AE201" i="16"/>
  <c r="AD201" i="16"/>
  <c r="AC201" i="16"/>
  <c r="AB201" i="16"/>
  <c r="AA201" i="16"/>
  <c r="Z201" i="16"/>
  <c r="Y201" i="16"/>
  <c r="X201" i="16"/>
  <c r="W201" i="16"/>
  <c r="AH200" i="16"/>
  <c r="AG200" i="16"/>
  <c r="AF200" i="16"/>
  <c r="AE200" i="16"/>
  <c r="AD200" i="16"/>
  <c r="AC200" i="16"/>
  <c r="AB200" i="16"/>
  <c r="AA200" i="16"/>
  <c r="Z200" i="16"/>
  <c r="Y200" i="16"/>
  <c r="X200" i="16"/>
  <c r="W200" i="16"/>
  <c r="AH199" i="16"/>
  <c r="AG199" i="16"/>
  <c r="AF199" i="16"/>
  <c r="AE199" i="16"/>
  <c r="AD199" i="16"/>
  <c r="AC199" i="16"/>
  <c r="AB199" i="16"/>
  <c r="AA199" i="16"/>
  <c r="Z199" i="16"/>
  <c r="Y199" i="16"/>
  <c r="X199" i="16"/>
  <c r="W199" i="16"/>
  <c r="AH198" i="16"/>
  <c r="AG198" i="16"/>
  <c r="AF198" i="16"/>
  <c r="AE198" i="16"/>
  <c r="AD198" i="16"/>
  <c r="AC198" i="16"/>
  <c r="AB198" i="16"/>
  <c r="AA198" i="16"/>
  <c r="Z198" i="16"/>
  <c r="Y198" i="16"/>
  <c r="X198" i="16"/>
  <c r="W198" i="16"/>
  <c r="AH197" i="16"/>
  <c r="AG197" i="16"/>
  <c r="AF197" i="16"/>
  <c r="AE197" i="16"/>
  <c r="AD197" i="16"/>
  <c r="AC197" i="16"/>
  <c r="AB197" i="16"/>
  <c r="AA197" i="16"/>
  <c r="Z197" i="16"/>
  <c r="Y197" i="16"/>
  <c r="X197" i="16"/>
  <c r="W197" i="16"/>
  <c r="AH196" i="16"/>
  <c r="AG196" i="16"/>
  <c r="AF196" i="16"/>
  <c r="AE196" i="16"/>
  <c r="AD196" i="16"/>
  <c r="AC196" i="16"/>
  <c r="AB196" i="16"/>
  <c r="AA196" i="16"/>
  <c r="Z196" i="16"/>
  <c r="Y196" i="16"/>
  <c r="X196" i="16"/>
  <c r="W196" i="16"/>
  <c r="AH195" i="16"/>
  <c r="AG195" i="16"/>
  <c r="AF195" i="16"/>
  <c r="AE195" i="16"/>
  <c r="AD195" i="16"/>
  <c r="AC195" i="16"/>
  <c r="AB195" i="16"/>
  <c r="AA195" i="16"/>
  <c r="Z195" i="16"/>
  <c r="Y195" i="16"/>
  <c r="X195" i="16"/>
  <c r="W195" i="16"/>
  <c r="AH188" i="16"/>
  <c r="AG188" i="16"/>
  <c r="AF188" i="16"/>
  <c r="AE188" i="16"/>
  <c r="AD188" i="16"/>
  <c r="AC188" i="16"/>
  <c r="AB188" i="16"/>
  <c r="AA188" i="16"/>
  <c r="Z188" i="16"/>
  <c r="Y188" i="16"/>
  <c r="X188" i="16"/>
  <c r="W188" i="16"/>
  <c r="AH187" i="16"/>
  <c r="AG187" i="16"/>
  <c r="AF187" i="16"/>
  <c r="AE187" i="16"/>
  <c r="AD187" i="16"/>
  <c r="AC187" i="16"/>
  <c r="AB187" i="16"/>
  <c r="AA187" i="16"/>
  <c r="Z187" i="16"/>
  <c r="Y187" i="16"/>
  <c r="X187" i="16"/>
  <c r="W187" i="16"/>
  <c r="AH186" i="16"/>
  <c r="AG186" i="16"/>
  <c r="AF186" i="16"/>
  <c r="AE186" i="16"/>
  <c r="AD186" i="16"/>
  <c r="AC186" i="16"/>
  <c r="AB186" i="16"/>
  <c r="AA186" i="16"/>
  <c r="Z186" i="16"/>
  <c r="Y186" i="16"/>
  <c r="X186" i="16"/>
  <c r="W186" i="16"/>
  <c r="AH185" i="16"/>
  <c r="AG185" i="16"/>
  <c r="AF185" i="16"/>
  <c r="AE185" i="16"/>
  <c r="AD185" i="16"/>
  <c r="AC185" i="16"/>
  <c r="AB185" i="16"/>
  <c r="AA185" i="16"/>
  <c r="Z185" i="16"/>
  <c r="Y185" i="16"/>
  <c r="X185" i="16"/>
  <c r="W185" i="16"/>
  <c r="AH184" i="16"/>
  <c r="AG184" i="16"/>
  <c r="AF184" i="16"/>
  <c r="AE184" i="16"/>
  <c r="AD184" i="16"/>
  <c r="AC184" i="16"/>
  <c r="AB184" i="16"/>
  <c r="AA184" i="16"/>
  <c r="Z184" i="16"/>
  <c r="Y184" i="16"/>
  <c r="X184" i="16"/>
  <c r="W184" i="16"/>
  <c r="AH183" i="16"/>
  <c r="AG183" i="16"/>
  <c r="AF183" i="16"/>
  <c r="AE183" i="16"/>
  <c r="AD183" i="16"/>
  <c r="AC183" i="16"/>
  <c r="AB183" i="16"/>
  <c r="AA183" i="16"/>
  <c r="Z183" i="16"/>
  <c r="Y183" i="16"/>
  <c r="X183" i="16"/>
  <c r="W183" i="16"/>
  <c r="AH182" i="16"/>
  <c r="AG182" i="16"/>
  <c r="AF182" i="16"/>
  <c r="AE182" i="16"/>
  <c r="AD182" i="16"/>
  <c r="AC182" i="16"/>
  <c r="AB182" i="16"/>
  <c r="AA182" i="16"/>
  <c r="Z182" i="16"/>
  <c r="Y182" i="16"/>
  <c r="X182" i="16"/>
  <c r="W182" i="16"/>
  <c r="AH181" i="16"/>
  <c r="AG181" i="16"/>
  <c r="AF181" i="16"/>
  <c r="AE181" i="16"/>
  <c r="AD181" i="16"/>
  <c r="AC181" i="16"/>
  <c r="AB181" i="16"/>
  <c r="AA181" i="16"/>
  <c r="Z181" i="16"/>
  <c r="Y181" i="16"/>
  <c r="X181" i="16"/>
  <c r="W181" i="16"/>
  <c r="AH180" i="16"/>
  <c r="AG180" i="16"/>
  <c r="AF180" i="16"/>
  <c r="AE180" i="16"/>
  <c r="AD180" i="16"/>
  <c r="AC180" i="16"/>
  <c r="AB180" i="16"/>
  <c r="AA180" i="16"/>
  <c r="Z180" i="16"/>
  <c r="Y180" i="16"/>
  <c r="X180" i="16"/>
  <c r="W180" i="16"/>
  <c r="AH179" i="16"/>
  <c r="AG179" i="16"/>
  <c r="AF179" i="16"/>
  <c r="AE179" i="16"/>
  <c r="AD179" i="16"/>
  <c r="AC179" i="16"/>
  <c r="AB179" i="16"/>
  <c r="AA179" i="16"/>
  <c r="Z179" i="16"/>
  <c r="Y179" i="16"/>
  <c r="X179" i="16"/>
  <c r="W179" i="16"/>
  <c r="AH178" i="16"/>
  <c r="AG178" i="16"/>
  <c r="AF178" i="16"/>
  <c r="AE178" i="16"/>
  <c r="AD178" i="16"/>
  <c r="AC178" i="16"/>
  <c r="AB178" i="16"/>
  <c r="AA178" i="16"/>
  <c r="Z178" i="16"/>
  <c r="Y178" i="16"/>
  <c r="X178" i="16"/>
  <c r="W178" i="16"/>
  <c r="AH177" i="16"/>
  <c r="AG177" i="16"/>
  <c r="AF177" i="16"/>
  <c r="AE177" i="16"/>
  <c r="AD177" i="16"/>
  <c r="AC177" i="16"/>
  <c r="AB177" i="16"/>
  <c r="AA177" i="16"/>
  <c r="Z177" i="16"/>
  <c r="Y177" i="16"/>
  <c r="X177" i="16"/>
  <c r="W177" i="16"/>
  <c r="AH176" i="16"/>
  <c r="AG176" i="16"/>
  <c r="AF176" i="16"/>
  <c r="AE176" i="16"/>
  <c r="AD176" i="16"/>
  <c r="AC176" i="16"/>
  <c r="AB176" i="16"/>
  <c r="AA176" i="16"/>
  <c r="Z176" i="16"/>
  <c r="Y176" i="16"/>
  <c r="X176" i="16"/>
  <c r="W176" i="16"/>
  <c r="AH175" i="16"/>
  <c r="AG175" i="16"/>
  <c r="AF175" i="16"/>
  <c r="AE175" i="16"/>
  <c r="AD175" i="16"/>
  <c r="AC175" i="16"/>
  <c r="AB175" i="16"/>
  <c r="AA175" i="16"/>
  <c r="Z175" i="16"/>
  <c r="Y175" i="16"/>
  <c r="X175" i="16"/>
  <c r="W175" i="16"/>
  <c r="AH174" i="16"/>
  <c r="AG174" i="16"/>
  <c r="AF174" i="16"/>
  <c r="AE174" i="16"/>
  <c r="AD174" i="16"/>
  <c r="AC174" i="16"/>
  <c r="AB174" i="16"/>
  <c r="AA174" i="16"/>
  <c r="Z174" i="16"/>
  <c r="Y174" i="16"/>
  <c r="X174" i="16"/>
  <c r="W174" i="16"/>
  <c r="AH173" i="16"/>
  <c r="AG173" i="16"/>
  <c r="AF173" i="16"/>
  <c r="AE173" i="16"/>
  <c r="AD173" i="16"/>
  <c r="AC173" i="16"/>
  <c r="AB173" i="16"/>
  <c r="AA173" i="16"/>
  <c r="Z173" i="16"/>
  <c r="Y173" i="16"/>
  <c r="X173" i="16"/>
  <c r="W173" i="16"/>
  <c r="AH172" i="16"/>
  <c r="AG172" i="16"/>
  <c r="AF172" i="16"/>
  <c r="AE172" i="16"/>
  <c r="AD172" i="16"/>
  <c r="AC172" i="16"/>
  <c r="AB172" i="16"/>
  <c r="AA172" i="16"/>
  <c r="Z172" i="16"/>
  <c r="Y172" i="16"/>
  <c r="X172" i="16"/>
  <c r="W172" i="16"/>
  <c r="AH171" i="16"/>
  <c r="AG171" i="16"/>
  <c r="AF171" i="16"/>
  <c r="AE171" i="16"/>
  <c r="AD171" i="16"/>
  <c r="AC171" i="16"/>
  <c r="AB171" i="16"/>
  <c r="AA171" i="16"/>
  <c r="Z171" i="16"/>
  <c r="Y171" i="16"/>
  <c r="X171" i="16"/>
  <c r="W171" i="16"/>
  <c r="AH170" i="16"/>
  <c r="AG170" i="16"/>
  <c r="AF170" i="16"/>
  <c r="AE170" i="16"/>
  <c r="AD170" i="16"/>
  <c r="AC170" i="16"/>
  <c r="AB170" i="16"/>
  <c r="AA170" i="16"/>
  <c r="Z170" i="16"/>
  <c r="Y170" i="16"/>
  <c r="X170" i="16"/>
  <c r="W170" i="16"/>
  <c r="AH169" i="16"/>
  <c r="AG169" i="16"/>
  <c r="AF169" i="16"/>
  <c r="AE169" i="16"/>
  <c r="AD169" i="16"/>
  <c r="AC169" i="16"/>
  <c r="AB169" i="16"/>
  <c r="AA169" i="16"/>
  <c r="Z169" i="16"/>
  <c r="Y169" i="16"/>
  <c r="X169" i="16"/>
  <c r="W169" i="16"/>
  <c r="AH168" i="16"/>
  <c r="AG168" i="16"/>
  <c r="AF168" i="16"/>
  <c r="AE168" i="16"/>
  <c r="AD168" i="16"/>
  <c r="AC168" i="16"/>
  <c r="AB168" i="16"/>
  <c r="AA168" i="16"/>
  <c r="Z168" i="16"/>
  <c r="Y168" i="16"/>
  <c r="X168" i="16"/>
  <c r="W168" i="16"/>
  <c r="AH167" i="16"/>
  <c r="AG167" i="16"/>
  <c r="AF167" i="16"/>
  <c r="AE167" i="16"/>
  <c r="AD167" i="16"/>
  <c r="AC167" i="16"/>
  <c r="AB167" i="16"/>
  <c r="AA167" i="16"/>
  <c r="Z167" i="16"/>
  <c r="Y167" i="16"/>
  <c r="X167" i="16"/>
  <c r="W167" i="16"/>
  <c r="AH166" i="16"/>
  <c r="AG166" i="16"/>
  <c r="AF166" i="16"/>
  <c r="AE166" i="16"/>
  <c r="AD166" i="16"/>
  <c r="AC166" i="16"/>
  <c r="AB166" i="16"/>
  <c r="AA166" i="16"/>
  <c r="Z166" i="16"/>
  <c r="Y166" i="16"/>
  <c r="X166" i="16"/>
  <c r="W166" i="16"/>
  <c r="AH165" i="16"/>
  <c r="AG165" i="16"/>
  <c r="AF165" i="16"/>
  <c r="AE165" i="16"/>
  <c r="AD165" i="16"/>
  <c r="AC165" i="16"/>
  <c r="AB165" i="16"/>
  <c r="AA165" i="16"/>
  <c r="Z165" i="16"/>
  <c r="Y165" i="16"/>
  <c r="X165" i="16"/>
  <c r="W165" i="16"/>
  <c r="AH164" i="16"/>
  <c r="AG164" i="16"/>
  <c r="AF164" i="16"/>
  <c r="AE164" i="16"/>
  <c r="AD164" i="16"/>
  <c r="AC164" i="16"/>
  <c r="AB164" i="16"/>
  <c r="AA164" i="16"/>
  <c r="Z164" i="16"/>
  <c r="Y164" i="16"/>
  <c r="X164" i="16"/>
  <c r="W164" i="16"/>
  <c r="AH163" i="16"/>
  <c r="AG163" i="16"/>
  <c r="AF163" i="16"/>
  <c r="AE163" i="16"/>
  <c r="AD163" i="16"/>
  <c r="AC163" i="16"/>
  <c r="AB163" i="16"/>
  <c r="AA163" i="16"/>
  <c r="Z163" i="16"/>
  <c r="Y163" i="16"/>
  <c r="X163" i="16"/>
  <c r="W163" i="16"/>
  <c r="AH162" i="16"/>
  <c r="AG162" i="16"/>
  <c r="AF162" i="16"/>
  <c r="AE162" i="16"/>
  <c r="AD162" i="16"/>
  <c r="AC162" i="16"/>
  <c r="AB162" i="16"/>
  <c r="AA162" i="16"/>
  <c r="Z162" i="16"/>
  <c r="Y162" i="16"/>
  <c r="X162" i="16"/>
  <c r="W162" i="16"/>
  <c r="AH161" i="16"/>
  <c r="AG161" i="16"/>
  <c r="AF161" i="16"/>
  <c r="AE161" i="16"/>
  <c r="AD161" i="16"/>
  <c r="AC161" i="16"/>
  <c r="AB161" i="16"/>
  <c r="AA161" i="16"/>
  <c r="Z161" i="16"/>
  <c r="Y161" i="16"/>
  <c r="X161" i="16"/>
  <c r="W161" i="16"/>
  <c r="AH160" i="16"/>
  <c r="AG160" i="16"/>
  <c r="AF160" i="16"/>
  <c r="AE160" i="16"/>
  <c r="AD160" i="16"/>
  <c r="AC160" i="16"/>
  <c r="AB160" i="16"/>
  <c r="AA160" i="16"/>
  <c r="Z160" i="16"/>
  <c r="Y160" i="16"/>
  <c r="X160" i="16"/>
  <c r="W160" i="16"/>
  <c r="AH159" i="16"/>
  <c r="AG159" i="16"/>
  <c r="AF159" i="16"/>
  <c r="AE159" i="16"/>
  <c r="AD159" i="16"/>
  <c r="AC159" i="16"/>
  <c r="AB159" i="16"/>
  <c r="AA159" i="16"/>
  <c r="Z159" i="16"/>
  <c r="Y159" i="16"/>
  <c r="X159" i="16"/>
  <c r="W159" i="16"/>
  <c r="AH158" i="16"/>
  <c r="AG158" i="16"/>
  <c r="AF158" i="16"/>
  <c r="AE158" i="16"/>
  <c r="AD158" i="16"/>
  <c r="AC158" i="16"/>
  <c r="AB158" i="16"/>
  <c r="AA158" i="16"/>
  <c r="Z158" i="16"/>
  <c r="Y158" i="16"/>
  <c r="X158" i="16"/>
  <c r="W158" i="16"/>
  <c r="AH157" i="16"/>
  <c r="AG157" i="16"/>
  <c r="AF157" i="16"/>
  <c r="AE157" i="16"/>
  <c r="AD157" i="16"/>
  <c r="AC157" i="16"/>
  <c r="AB157" i="16"/>
  <c r="AA157" i="16"/>
  <c r="Z157" i="16"/>
  <c r="Y157" i="16"/>
  <c r="X157" i="16"/>
  <c r="W157" i="16"/>
  <c r="AH156" i="16"/>
  <c r="AG156" i="16"/>
  <c r="AF156" i="16"/>
  <c r="AE156" i="16"/>
  <c r="AD156" i="16"/>
  <c r="AC156" i="16"/>
  <c r="AB156" i="16"/>
  <c r="AA156" i="16"/>
  <c r="Z156" i="16"/>
  <c r="Y156" i="16"/>
  <c r="X156" i="16"/>
  <c r="W156" i="16"/>
  <c r="AH155" i="16"/>
  <c r="AG155" i="16"/>
  <c r="AF155" i="16"/>
  <c r="AE155" i="16"/>
  <c r="AD155" i="16"/>
  <c r="AC155" i="16"/>
  <c r="AB155" i="16"/>
  <c r="AA155" i="16"/>
  <c r="Z155" i="16"/>
  <c r="Y155" i="16"/>
  <c r="X155" i="16"/>
  <c r="W155" i="16"/>
  <c r="AH154" i="16"/>
  <c r="AG154" i="16"/>
  <c r="AF154" i="16"/>
  <c r="AE154" i="16"/>
  <c r="AD154" i="16"/>
  <c r="AC154" i="16"/>
  <c r="AB154" i="16"/>
  <c r="AA154" i="16"/>
  <c r="Z154" i="16"/>
  <c r="Y154" i="16"/>
  <c r="X154" i="16"/>
  <c r="W154" i="16"/>
  <c r="AH153" i="16"/>
  <c r="AG153" i="16"/>
  <c r="AF153" i="16"/>
  <c r="AE153" i="16"/>
  <c r="AD153" i="16"/>
  <c r="AC153" i="16"/>
  <c r="AB153" i="16"/>
  <c r="AA153" i="16"/>
  <c r="Z153" i="16"/>
  <c r="Y153" i="16"/>
  <c r="X153" i="16"/>
  <c r="W153" i="16"/>
  <c r="AH152" i="16"/>
  <c r="AG152" i="16"/>
  <c r="AF152" i="16"/>
  <c r="AE152" i="16"/>
  <c r="AD152" i="16"/>
  <c r="AC152" i="16"/>
  <c r="AB152" i="16"/>
  <c r="AA152" i="16"/>
  <c r="Z152" i="16"/>
  <c r="Y152" i="16"/>
  <c r="X152" i="16"/>
  <c r="W152" i="16"/>
  <c r="AH151" i="16"/>
  <c r="AG151" i="16"/>
  <c r="AF151" i="16"/>
  <c r="AE151" i="16"/>
  <c r="AD151" i="16"/>
  <c r="AC151" i="16"/>
  <c r="AB151" i="16"/>
  <c r="AA151" i="16"/>
  <c r="Z151" i="16"/>
  <c r="Y151" i="16"/>
  <c r="X151" i="16"/>
  <c r="W151" i="16"/>
  <c r="AH150" i="16"/>
  <c r="AG150" i="16"/>
  <c r="AF150" i="16"/>
  <c r="AE150" i="16"/>
  <c r="AD150" i="16"/>
  <c r="AC150" i="16"/>
  <c r="AB150" i="16"/>
  <c r="AA150" i="16"/>
  <c r="Z150" i="16"/>
  <c r="Y150" i="16"/>
  <c r="X150" i="16"/>
  <c r="W150" i="16"/>
  <c r="AH149" i="16"/>
  <c r="AG149" i="16"/>
  <c r="AF149" i="16"/>
  <c r="AE149" i="16"/>
  <c r="AD149" i="16"/>
  <c r="AC149" i="16"/>
  <c r="AB149" i="16"/>
  <c r="AA149" i="16"/>
  <c r="Z149" i="16"/>
  <c r="Y149" i="16"/>
  <c r="X149" i="16"/>
  <c r="W149" i="16"/>
  <c r="AH148" i="16"/>
  <c r="AG148" i="16"/>
  <c r="AF148" i="16"/>
  <c r="AE148" i="16"/>
  <c r="AD148" i="16"/>
  <c r="AC148" i="16"/>
  <c r="AB148" i="16"/>
  <c r="AA148" i="16"/>
  <c r="Z148" i="16"/>
  <c r="Y148" i="16"/>
  <c r="X148" i="16"/>
  <c r="W148" i="16"/>
  <c r="AH147" i="16"/>
  <c r="AG147" i="16"/>
  <c r="AF147" i="16"/>
  <c r="AE147" i="16"/>
  <c r="AD147" i="16"/>
  <c r="AC147" i="16"/>
  <c r="AB147" i="16"/>
  <c r="AA147" i="16"/>
  <c r="Z147" i="16"/>
  <c r="Y147" i="16"/>
  <c r="X147" i="16"/>
  <c r="W147" i="16"/>
  <c r="AH146" i="16"/>
  <c r="AG146" i="16"/>
  <c r="AF146" i="16"/>
  <c r="AE146" i="16"/>
  <c r="AD146" i="16"/>
  <c r="AC146" i="16"/>
  <c r="AB146" i="16"/>
  <c r="AA146" i="16"/>
  <c r="Z146" i="16"/>
  <c r="Y146" i="16"/>
  <c r="X146" i="16"/>
  <c r="W146" i="16"/>
  <c r="AH145" i="16"/>
  <c r="AG145" i="16"/>
  <c r="AF145" i="16"/>
  <c r="AE145" i="16"/>
  <c r="AD145" i="16"/>
  <c r="AC145" i="16"/>
  <c r="AB145" i="16"/>
  <c r="AA145" i="16"/>
  <c r="Z145" i="16"/>
  <c r="Y145" i="16"/>
  <c r="X145" i="16"/>
  <c r="W145" i="16"/>
  <c r="AH144" i="16"/>
  <c r="AG144" i="16"/>
  <c r="AF144" i="16"/>
  <c r="AE144" i="16"/>
  <c r="AD144" i="16"/>
  <c r="AC144" i="16"/>
  <c r="AB144" i="16"/>
  <c r="AA144" i="16"/>
  <c r="Z144" i="16"/>
  <c r="Y144" i="16"/>
  <c r="X144" i="16"/>
  <c r="W144" i="16"/>
  <c r="AH143" i="16"/>
  <c r="AG143" i="16"/>
  <c r="AF143" i="16"/>
  <c r="AE143" i="16"/>
  <c r="AD143" i="16"/>
  <c r="AC143" i="16"/>
  <c r="AB143" i="16"/>
  <c r="AA143" i="16"/>
  <c r="Z143" i="16"/>
  <c r="Y143" i="16"/>
  <c r="X143" i="16"/>
  <c r="W143" i="16"/>
  <c r="AH142" i="16"/>
  <c r="AG142" i="16"/>
  <c r="AF142" i="16"/>
  <c r="AE142" i="16"/>
  <c r="AD142" i="16"/>
  <c r="AC142" i="16"/>
  <c r="AB142" i="16"/>
  <c r="AA142" i="16"/>
  <c r="Z142" i="16"/>
  <c r="Y142" i="16"/>
  <c r="X142" i="16"/>
  <c r="W142" i="16"/>
  <c r="AH141" i="16"/>
  <c r="AG141" i="16"/>
  <c r="AF141" i="16"/>
  <c r="AE141" i="16"/>
  <c r="AD141" i="16"/>
  <c r="AC141" i="16"/>
  <c r="AB141" i="16"/>
  <c r="AA141" i="16"/>
  <c r="Z141" i="16"/>
  <c r="Y141" i="16"/>
  <c r="X141" i="16"/>
  <c r="W141" i="16"/>
  <c r="AH139" i="16"/>
  <c r="AG139" i="16"/>
  <c r="AF139" i="16"/>
  <c r="AE139" i="16"/>
  <c r="AD139" i="16"/>
  <c r="AC139" i="16"/>
  <c r="AB139" i="16"/>
  <c r="AA139" i="16"/>
  <c r="Z139" i="16"/>
  <c r="Y139" i="16"/>
  <c r="X139" i="16"/>
  <c r="W139" i="16"/>
  <c r="AH138" i="16"/>
  <c r="AG138" i="16"/>
  <c r="AF138" i="16"/>
  <c r="AE138" i="16"/>
  <c r="AD138" i="16"/>
  <c r="AC138" i="16"/>
  <c r="AB138" i="16"/>
  <c r="AA138" i="16"/>
  <c r="Z138" i="16"/>
  <c r="Y138" i="16"/>
  <c r="X138" i="16"/>
  <c r="W138" i="16"/>
  <c r="AH137" i="16"/>
  <c r="AG137" i="16"/>
  <c r="AF137" i="16"/>
  <c r="AE137" i="16"/>
  <c r="AD137" i="16"/>
  <c r="AC137" i="16"/>
  <c r="AB137" i="16"/>
  <c r="AA137" i="16"/>
  <c r="Z137" i="16"/>
  <c r="Y137" i="16"/>
  <c r="X137" i="16"/>
  <c r="W137" i="16"/>
  <c r="AH136" i="16"/>
  <c r="AG136" i="16"/>
  <c r="AF136" i="16"/>
  <c r="AE136" i="16"/>
  <c r="AD136" i="16"/>
  <c r="AC136" i="16"/>
  <c r="AB136" i="16"/>
  <c r="AA136" i="16"/>
  <c r="Z136" i="16"/>
  <c r="Y136" i="16"/>
  <c r="X136" i="16"/>
  <c r="W136" i="16"/>
  <c r="AH135" i="16"/>
  <c r="AG135" i="16"/>
  <c r="AF135" i="16"/>
  <c r="AE135" i="16"/>
  <c r="AD135" i="16"/>
  <c r="AC135" i="16"/>
  <c r="AB135" i="16"/>
  <c r="AA135" i="16"/>
  <c r="Z135" i="16"/>
  <c r="Y135" i="16"/>
  <c r="X135" i="16"/>
  <c r="W135" i="16"/>
  <c r="AH134" i="16"/>
  <c r="AG134" i="16"/>
  <c r="AF134" i="16"/>
  <c r="AE134" i="16"/>
  <c r="AD134" i="16"/>
  <c r="AC134" i="16"/>
  <c r="AB134" i="16"/>
  <c r="AA134" i="16"/>
  <c r="Z134" i="16"/>
  <c r="Y134" i="16"/>
  <c r="X134" i="16"/>
  <c r="W134" i="16"/>
  <c r="AH133" i="16"/>
  <c r="AG133" i="16"/>
  <c r="AF133" i="16"/>
  <c r="AE133" i="16"/>
  <c r="AD133" i="16"/>
  <c r="AC133" i="16"/>
  <c r="AB133" i="16"/>
  <c r="AA133" i="16"/>
  <c r="Z133" i="16"/>
  <c r="Y133" i="16"/>
  <c r="X133" i="16"/>
  <c r="W133" i="16"/>
  <c r="AH132" i="16"/>
  <c r="AG132" i="16"/>
  <c r="AF132" i="16"/>
  <c r="AE132" i="16"/>
  <c r="AD132" i="16"/>
  <c r="AC132" i="16"/>
  <c r="AB132" i="16"/>
  <c r="AA132" i="16"/>
  <c r="Z132" i="16"/>
  <c r="Y132" i="16"/>
  <c r="X132" i="16"/>
  <c r="W132" i="16"/>
  <c r="AH131" i="16"/>
  <c r="AG131" i="16"/>
  <c r="AF131" i="16"/>
  <c r="AE131" i="16"/>
  <c r="AD131" i="16"/>
  <c r="AC131" i="16"/>
  <c r="AB131" i="16"/>
  <c r="AA131" i="16"/>
  <c r="Z131" i="16"/>
  <c r="Y131" i="16"/>
  <c r="X131" i="16"/>
  <c r="W131" i="16"/>
  <c r="AH130" i="16"/>
  <c r="AG130" i="16"/>
  <c r="AF130" i="16"/>
  <c r="AE130" i="16"/>
  <c r="AD130" i="16"/>
  <c r="AC130" i="16"/>
  <c r="AB130" i="16"/>
  <c r="AA130" i="16"/>
  <c r="Z130" i="16"/>
  <c r="Y130" i="16"/>
  <c r="X130" i="16"/>
  <c r="W130" i="16"/>
  <c r="AH129" i="16"/>
  <c r="AG129" i="16"/>
  <c r="AF129" i="16"/>
  <c r="AE129" i="16"/>
  <c r="AD129" i="16"/>
  <c r="AC129" i="16"/>
  <c r="AB129" i="16"/>
  <c r="AA129" i="16"/>
  <c r="Z129" i="16"/>
  <c r="Y129" i="16"/>
  <c r="X129" i="16"/>
  <c r="W129" i="16"/>
  <c r="AH128" i="16"/>
  <c r="AG128" i="16"/>
  <c r="AF128" i="16"/>
  <c r="AE128" i="16"/>
  <c r="AD128" i="16"/>
  <c r="AC128" i="16"/>
  <c r="AB128" i="16"/>
  <c r="AA128" i="16"/>
  <c r="Z128" i="16"/>
  <c r="Y128" i="16"/>
  <c r="X128" i="16"/>
  <c r="W128" i="16"/>
  <c r="AH127" i="16"/>
  <c r="AG127" i="16"/>
  <c r="AF127" i="16"/>
  <c r="AE127" i="16"/>
  <c r="AD127" i="16"/>
  <c r="AC127" i="16"/>
  <c r="AB127" i="16"/>
  <c r="AA127" i="16"/>
  <c r="Z127" i="16"/>
  <c r="Y127" i="16"/>
  <c r="X127" i="16"/>
  <c r="W127" i="16"/>
  <c r="AH126" i="16"/>
  <c r="AG126" i="16"/>
  <c r="AF126" i="16"/>
  <c r="AE126" i="16"/>
  <c r="AD126" i="16"/>
  <c r="AC126" i="16"/>
  <c r="AB126" i="16"/>
  <c r="AA126" i="16"/>
  <c r="Z126" i="16"/>
  <c r="Y126" i="16"/>
  <c r="X126" i="16"/>
  <c r="W126" i="16"/>
  <c r="AH125" i="16"/>
  <c r="AG125" i="16"/>
  <c r="AF125" i="16"/>
  <c r="AE125" i="16"/>
  <c r="AD125" i="16"/>
  <c r="AC125" i="16"/>
  <c r="AB125" i="16"/>
  <c r="AA125" i="16"/>
  <c r="Z125" i="16"/>
  <c r="Y125" i="16"/>
  <c r="X125" i="16"/>
  <c r="W125" i="16"/>
  <c r="AH124" i="16"/>
  <c r="AG124" i="16"/>
  <c r="AF124" i="16"/>
  <c r="AE124" i="16"/>
  <c r="AD124" i="16"/>
  <c r="AC124" i="16"/>
  <c r="AB124" i="16"/>
  <c r="AA124" i="16"/>
  <c r="Z124" i="16"/>
  <c r="Y124" i="16"/>
  <c r="X124" i="16"/>
  <c r="W124" i="16"/>
  <c r="AH123" i="16"/>
  <c r="AG123" i="16"/>
  <c r="AF123" i="16"/>
  <c r="AE123" i="16"/>
  <c r="AD123" i="16"/>
  <c r="AC123" i="16"/>
  <c r="AB123" i="16"/>
  <c r="AA123" i="16"/>
  <c r="Z123" i="16"/>
  <c r="Y123" i="16"/>
  <c r="X123" i="16"/>
  <c r="W123" i="16"/>
  <c r="AH122" i="16"/>
  <c r="AG122" i="16"/>
  <c r="AF122" i="16"/>
  <c r="AE122" i="16"/>
  <c r="AD122" i="16"/>
  <c r="AC122" i="16"/>
  <c r="AB122" i="16"/>
  <c r="AA122" i="16"/>
  <c r="Z122" i="16"/>
  <c r="Y122" i="16"/>
  <c r="X122" i="16"/>
  <c r="W122" i="16"/>
  <c r="AH121" i="16"/>
  <c r="AG121" i="16"/>
  <c r="AF121" i="16"/>
  <c r="AE121" i="16"/>
  <c r="AD121" i="16"/>
  <c r="AC121" i="16"/>
  <c r="AB121" i="16"/>
  <c r="AA121" i="16"/>
  <c r="Z121" i="16"/>
  <c r="Y121" i="16"/>
  <c r="X121" i="16"/>
  <c r="W121" i="16"/>
  <c r="AH120" i="16"/>
  <c r="AG120" i="16"/>
  <c r="AF120" i="16"/>
  <c r="AE120" i="16"/>
  <c r="AD120" i="16"/>
  <c r="AC120" i="16"/>
  <c r="AB120" i="16"/>
  <c r="AA120" i="16"/>
  <c r="Z120" i="16"/>
  <c r="Y120" i="16"/>
  <c r="X120" i="16"/>
  <c r="W120" i="16"/>
  <c r="AH119" i="16"/>
  <c r="AG119" i="16"/>
  <c r="AF119" i="16"/>
  <c r="AE119" i="16"/>
  <c r="AD119" i="16"/>
  <c r="AC119" i="16"/>
  <c r="AB119" i="16"/>
  <c r="AA119" i="16"/>
  <c r="Z119" i="16"/>
  <c r="Y119" i="16"/>
  <c r="X119" i="16"/>
  <c r="W119" i="16"/>
  <c r="AH118" i="16"/>
  <c r="AG118" i="16"/>
  <c r="AF118" i="16"/>
  <c r="AE118" i="16"/>
  <c r="AD118" i="16"/>
  <c r="AC118" i="16"/>
  <c r="AB118" i="16"/>
  <c r="AA118" i="16"/>
  <c r="Z118" i="16"/>
  <c r="Y118" i="16"/>
  <c r="X118" i="16"/>
  <c r="W118" i="16"/>
  <c r="AH117" i="16"/>
  <c r="AG117" i="16"/>
  <c r="AF117" i="16"/>
  <c r="AE117" i="16"/>
  <c r="AD117" i="16"/>
  <c r="AC117" i="16"/>
  <c r="AB117" i="16"/>
  <c r="AA117" i="16"/>
  <c r="Z117" i="16"/>
  <c r="Y117" i="16"/>
  <c r="X117" i="16"/>
  <c r="W117" i="16"/>
  <c r="AH116" i="16"/>
  <c r="AG116" i="16"/>
  <c r="AF116" i="16"/>
  <c r="AE116" i="16"/>
  <c r="AD116" i="16"/>
  <c r="AC116" i="16"/>
  <c r="AB116" i="16"/>
  <c r="AA116" i="16"/>
  <c r="Z116" i="16"/>
  <c r="Y116" i="16"/>
  <c r="X116" i="16"/>
  <c r="W116" i="16"/>
  <c r="AH115" i="16"/>
  <c r="AG115" i="16"/>
  <c r="AF115" i="16"/>
  <c r="AE115" i="16"/>
  <c r="AD115" i="16"/>
  <c r="AC115" i="16"/>
  <c r="AB115" i="16"/>
  <c r="AA115" i="16"/>
  <c r="Z115" i="16"/>
  <c r="Y115" i="16"/>
  <c r="X115" i="16"/>
  <c r="W115" i="16"/>
  <c r="AH114" i="16"/>
  <c r="AG114" i="16"/>
  <c r="AF114" i="16"/>
  <c r="AE114" i="16"/>
  <c r="AD114" i="16"/>
  <c r="AC114" i="16"/>
  <c r="AB114" i="16"/>
  <c r="AA114" i="16"/>
  <c r="Z114" i="16"/>
  <c r="Y114" i="16"/>
  <c r="X114" i="16"/>
  <c r="W114" i="16"/>
  <c r="AH113" i="16"/>
  <c r="AG113" i="16"/>
  <c r="AF113" i="16"/>
  <c r="AE113" i="16"/>
  <c r="AD113" i="16"/>
  <c r="AC113" i="16"/>
  <c r="AB113" i="16"/>
  <c r="AA113" i="16"/>
  <c r="Z113" i="16"/>
  <c r="Y113" i="16"/>
  <c r="X113" i="16"/>
  <c r="W113" i="16"/>
  <c r="AH112" i="16"/>
  <c r="AG112" i="16"/>
  <c r="AF112" i="16"/>
  <c r="AE112" i="16"/>
  <c r="AD112" i="16"/>
  <c r="AC112" i="16"/>
  <c r="AB112" i="16"/>
  <c r="AA112" i="16"/>
  <c r="Z112" i="16"/>
  <c r="Y112" i="16"/>
  <c r="X112" i="16"/>
  <c r="W112" i="16"/>
  <c r="AH111" i="16"/>
  <c r="AG111" i="16"/>
  <c r="AF111" i="16"/>
  <c r="AE111" i="16"/>
  <c r="AD111" i="16"/>
  <c r="AC111" i="16"/>
  <c r="AB111" i="16"/>
  <c r="AA111" i="16"/>
  <c r="Z111" i="16"/>
  <c r="Y111" i="16"/>
  <c r="X111" i="16"/>
  <c r="W111" i="16"/>
  <c r="AH110" i="16"/>
  <c r="AG110" i="16"/>
  <c r="AF110" i="16"/>
  <c r="AE110" i="16"/>
  <c r="AD110" i="16"/>
  <c r="AC110" i="16"/>
  <c r="AB110" i="16"/>
  <c r="AA110" i="16"/>
  <c r="Z110" i="16"/>
  <c r="Y110" i="16"/>
  <c r="X110" i="16"/>
  <c r="W110" i="16"/>
  <c r="AH109" i="16"/>
  <c r="AG109" i="16"/>
  <c r="AF109" i="16"/>
  <c r="AE109" i="16"/>
  <c r="AD109" i="16"/>
  <c r="AC109" i="16"/>
  <c r="AB109" i="16"/>
  <c r="AA109" i="16"/>
  <c r="Z109" i="16"/>
  <c r="Y109" i="16"/>
  <c r="X109" i="16"/>
  <c r="W109" i="16"/>
  <c r="AH108" i="16"/>
  <c r="AG108" i="16"/>
  <c r="AF108" i="16"/>
  <c r="AE108" i="16"/>
  <c r="AD108" i="16"/>
  <c r="AC108" i="16"/>
  <c r="AB108" i="16"/>
  <c r="AA108" i="16"/>
  <c r="Z108" i="16"/>
  <c r="Y108" i="16"/>
  <c r="X108" i="16"/>
  <c r="W108" i="16"/>
  <c r="AH107" i="16"/>
  <c r="AG107" i="16"/>
  <c r="AF107" i="16"/>
  <c r="AE107" i="16"/>
  <c r="AD107" i="16"/>
  <c r="AC107" i="16"/>
  <c r="AB107" i="16"/>
  <c r="AA107" i="16"/>
  <c r="Z107" i="16"/>
  <c r="Y107" i="16"/>
  <c r="X107" i="16"/>
  <c r="W107" i="16"/>
  <c r="AH106" i="16"/>
  <c r="AG106" i="16"/>
  <c r="AF106" i="16"/>
  <c r="AE106" i="16"/>
  <c r="AD106" i="16"/>
  <c r="AC106" i="16"/>
  <c r="AB106" i="16"/>
  <c r="AA106" i="16"/>
  <c r="Z106" i="16"/>
  <c r="Y106" i="16"/>
  <c r="X106" i="16"/>
  <c r="W106" i="16"/>
  <c r="AH105" i="16"/>
  <c r="AG105" i="16"/>
  <c r="AF105" i="16"/>
  <c r="AE105" i="16"/>
  <c r="AD105" i="16"/>
  <c r="AC105" i="16"/>
  <c r="AB105" i="16"/>
  <c r="AA105" i="16"/>
  <c r="Z105" i="16"/>
  <c r="Y105" i="16"/>
  <c r="X105" i="16"/>
  <c r="W105" i="16"/>
  <c r="AH104" i="16"/>
  <c r="AG104" i="16"/>
  <c r="AF104" i="16"/>
  <c r="AE104" i="16"/>
  <c r="AD104" i="16"/>
  <c r="AC104" i="16"/>
  <c r="AB104" i="16"/>
  <c r="AA104" i="16"/>
  <c r="Z104" i="16"/>
  <c r="Y104" i="16"/>
  <c r="X104" i="16"/>
  <c r="W104" i="16"/>
  <c r="AH103" i="16"/>
  <c r="AG103" i="16"/>
  <c r="AF103" i="16"/>
  <c r="AE103" i="16"/>
  <c r="AD103" i="16"/>
  <c r="AC103" i="16"/>
  <c r="AB103" i="16"/>
  <c r="AA103" i="16"/>
  <c r="Z103" i="16"/>
  <c r="Y103" i="16"/>
  <c r="X103" i="16"/>
  <c r="W103" i="16"/>
  <c r="AH102" i="16"/>
  <c r="AG102" i="16"/>
  <c r="AF102" i="16"/>
  <c r="AE102" i="16"/>
  <c r="AD102" i="16"/>
  <c r="AC102" i="16"/>
  <c r="AB102" i="16"/>
  <c r="AA102" i="16"/>
  <c r="Z102" i="16"/>
  <c r="Y102" i="16"/>
  <c r="X102" i="16"/>
  <c r="W102" i="16"/>
  <c r="AH101" i="16"/>
  <c r="AG101" i="16"/>
  <c r="AF101" i="16"/>
  <c r="AE101" i="16"/>
  <c r="AD101" i="16"/>
  <c r="AC101" i="16"/>
  <c r="AB101" i="16"/>
  <c r="AA101" i="16"/>
  <c r="Z101" i="16"/>
  <c r="Y101" i="16"/>
  <c r="X101" i="16"/>
  <c r="W101" i="16"/>
  <c r="AH100" i="16"/>
  <c r="AG100" i="16"/>
  <c r="AF100" i="16"/>
  <c r="AE100" i="16"/>
  <c r="AD100" i="16"/>
  <c r="AC100" i="16"/>
  <c r="AB100" i="16"/>
  <c r="AA100" i="16"/>
  <c r="Z100" i="16"/>
  <c r="Y100" i="16"/>
  <c r="X100" i="16"/>
  <c r="W100" i="16"/>
  <c r="AH99" i="16"/>
  <c r="AG99" i="16"/>
  <c r="AF99" i="16"/>
  <c r="AE99" i="16"/>
  <c r="AD99" i="16"/>
  <c r="AC99" i="16"/>
  <c r="AB99" i="16"/>
  <c r="AA99" i="16"/>
  <c r="Z99" i="16"/>
  <c r="Y99" i="16"/>
  <c r="X99" i="16"/>
  <c r="W99" i="16"/>
  <c r="AH98" i="16"/>
  <c r="AG98" i="16"/>
  <c r="AF98" i="16"/>
  <c r="AE98" i="16"/>
  <c r="AD98" i="16"/>
  <c r="AC98" i="16"/>
  <c r="AB98" i="16"/>
  <c r="AA98" i="16"/>
  <c r="Z98" i="16"/>
  <c r="Y98" i="16"/>
  <c r="X98" i="16"/>
  <c r="W98" i="16"/>
  <c r="AH97" i="16"/>
  <c r="AG97" i="16"/>
  <c r="AF97" i="16"/>
  <c r="AE97" i="16"/>
  <c r="AD97" i="16"/>
  <c r="AC97" i="16"/>
  <c r="AB97" i="16"/>
  <c r="AA97" i="16"/>
  <c r="Z97" i="16"/>
  <c r="Y97" i="16"/>
  <c r="X97" i="16"/>
  <c r="W97" i="16"/>
  <c r="AH96" i="16"/>
  <c r="AG96" i="16"/>
  <c r="AF96" i="16"/>
  <c r="AE96" i="16"/>
  <c r="AD96" i="16"/>
  <c r="AC96" i="16"/>
  <c r="AB96" i="16"/>
  <c r="AA96" i="16"/>
  <c r="Z96" i="16"/>
  <c r="Y96" i="16"/>
  <c r="X96" i="16"/>
  <c r="W96" i="16"/>
  <c r="AH95" i="16"/>
  <c r="AG95" i="16"/>
  <c r="AF95" i="16"/>
  <c r="AE95" i="16"/>
  <c r="AD95" i="16"/>
  <c r="AC95" i="16"/>
  <c r="AB95" i="16"/>
  <c r="AA95" i="16"/>
  <c r="Z95" i="16"/>
  <c r="Y95" i="16"/>
  <c r="X95" i="16"/>
  <c r="W95" i="16"/>
  <c r="AH94" i="16"/>
  <c r="AG94" i="16"/>
  <c r="AF94" i="16"/>
  <c r="AE94" i="16"/>
  <c r="AD94" i="16"/>
  <c r="AC94" i="16"/>
  <c r="AB94" i="16"/>
  <c r="AA94" i="16"/>
  <c r="Z94" i="16"/>
  <c r="Y94" i="16"/>
  <c r="X94" i="16"/>
  <c r="W94" i="16"/>
  <c r="AH93" i="16"/>
  <c r="AG93" i="16"/>
  <c r="AF93" i="16"/>
  <c r="AE93" i="16"/>
  <c r="AD93" i="16"/>
  <c r="AC93" i="16"/>
  <c r="AB93" i="16"/>
  <c r="AA93" i="16"/>
  <c r="Z93" i="16"/>
  <c r="Y93" i="16"/>
  <c r="X93" i="16"/>
  <c r="W93" i="16"/>
  <c r="AH92" i="16"/>
  <c r="AG92" i="16"/>
  <c r="AF92" i="16"/>
  <c r="AE92" i="16"/>
  <c r="AD92" i="16"/>
  <c r="AC92" i="16"/>
  <c r="AB92" i="16"/>
  <c r="AA92" i="16"/>
  <c r="Z92" i="16"/>
  <c r="Y92" i="16"/>
  <c r="X92" i="16"/>
  <c r="W92" i="16"/>
  <c r="AH91" i="16"/>
  <c r="AG91" i="16"/>
  <c r="AF91" i="16"/>
  <c r="AE91" i="16"/>
  <c r="AD91" i="16"/>
  <c r="AC91" i="16"/>
  <c r="AB91" i="16"/>
  <c r="AA91" i="16"/>
  <c r="Z91" i="16"/>
  <c r="Y91" i="16"/>
  <c r="X91" i="16"/>
  <c r="W91" i="16"/>
  <c r="AH90" i="16"/>
  <c r="AG90" i="16"/>
  <c r="AF90" i="16"/>
  <c r="AE90" i="16"/>
  <c r="AD90" i="16"/>
  <c r="AC90" i="16"/>
  <c r="AB90" i="16"/>
  <c r="AA90" i="16"/>
  <c r="Z90" i="16"/>
  <c r="Y90" i="16"/>
  <c r="X90" i="16"/>
  <c r="W90" i="16"/>
  <c r="AH89" i="16"/>
  <c r="AG89" i="16"/>
  <c r="AF89" i="16"/>
  <c r="AE89" i="16"/>
  <c r="AD89" i="16"/>
  <c r="AC89" i="16"/>
  <c r="AB89" i="16"/>
  <c r="AA89" i="16"/>
  <c r="Z89" i="16"/>
  <c r="Y89" i="16"/>
  <c r="X89" i="16"/>
  <c r="W89" i="16"/>
  <c r="AH88" i="16"/>
  <c r="AG88" i="16"/>
  <c r="AF88" i="16"/>
  <c r="AE88" i="16"/>
  <c r="AD88" i="16"/>
  <c r="AC88" i="16"/>
  <c r="AB88" i="16"/>
  <c r="AA88" i="16"/>
  <c r="Z88" i="16"/>
  <c r="Y88" i="16"/>
  <c r="X88" i="16"/>
  <c r="W88" i="16"/>
  <c r="AH87" i="16"/>
  <c r="AG87" i="16"/>
  <c r="AF87" i="16"/>
  <c r="AE87" i="16"/>
  <c r="AD87" i="16"/>
  <c r="AC87" i="16"/>
  <c r="AB87" i="16"/>
  <c r="AA87" i="16"/>
  <c r="Z87" i="16"/>
  <c r="Y87" i="16"/>
  <c r="X87" i="16"/>
  <c r="W87" i="16"/>
  <c r="AH86" i="16"/>
  <c r="AG86" i="16"/>
  <c r="AF86" i="16"/>
  <c r="AE86" i="16"/>
  <c r="AD86" i="16"/>
  <c r="AC86" i="16"/>
  <c r="AB86" i="16"/>
  <c r="AA86" i="16"/>
  <c r="Z86" i="16"/>
  <c r="Y86" i="16"/>
  <c r="X86" i="16"/>
  <c r="W86" i="16"/>
  <c r="AH85" i="16"/>
  <c r="AG85" i="16"/>
  <c r="AF85" i="16"/>
  <c r="AE85" i="16"/>
  <c r="AD85" i="16"/>
  <c r="AC85" i="16"/>
  <c r="AB85" i="16"/>
  <c r="AA85" i="16"/>
  <c r="Z85" i="16"/>
  <c r="Y85" i="16"/>
  <c r="X85" i="16"/>
  <c r="W85" i="16"/>
  <c r="AH78" i="16"/>
  <c r="AG78" i="16"/>
  <c r="AF78" i="16"/>
  <c r="AE78" i="16"/>
  <c r="AD78" i="16"/>
  <c r="AC78" i="16"/>
  <c r="AB78" i="16"/>
  <c r="AA78" i="16"/>
  <c r="Z78" i="16"/>
  <c r="Y78" i="16"/>
  <c r="X78" i="16"/>
  <c r="W78" i="16"/>
  <c r="AH77" i="16"/>
  <c r="AG77" i="16"/>
  <c r="AF77" i="16"/>
  <c r="AE77" i="16"/>
  <c r="AD77" i="16"/>
  <c r="AC77" i="16"/>
  <c r="AB77" i="16"/>
  <c r="AA77" i="16"/>
  <c r="Z77" i="16"/>
  <c r="Y77" i="16"/>
  <c r="X77" i="16"/>
  <c r="W77" i="16"/>
  <c r="AH76" i="16"/>
  <c r="AG76" i="16"/>
  <c r="AF76" i="16"/>
  <c r="AE76" i="16"/>
  <c r="AD76" i="16"/>
  <c r="AC76" i="16"/>
  <c r="AB76" i="16"/>
  <c r="AA76" i="16"/>
  <c r="Z76" i="16"/>
  <c r="Y76" i="16"/>
  <c r="X76" i="16"/>
  <c r="W76" i="16"/>
  <c r="AH75" i="16"/>
  <c r="AG75" i="16"/>
  <c r="AF75" i="16"/>
  <c r="AE75" i="16"/>
  <c r="AD75" i="16"/>
  <c r="AC75" i="16"/>
  <c r="AB75" i="16"/>
  <c r="AA75" i="16"/>
  <c r="Z75" i="16"/>
  <c r="Y75" i="16"/>
  <c r="X75" i="16"/>
  <c r="W75" i="16"/>
  <c r="AH74" i="16"/>
  <c r="AG74" i="16"/>
  <c r="AF74" i="16"/>
  <c r="AE74" i="16"/>
  <c r="AD74" i="16"/>
  <c r="AC74" i="16"/>
  <c r="AB74" i="16"/>
  <c r="AA74" i="16"/>
  <c r="Z74" i="16"/>
  <c r="Y74" i="16"/>
  <c r="X74" i="16"/>
  <c r="W74" i="16"/>
  <c r="AH73" i="16"/>
  <c r="AG73" i="16"/>
  <c r="AF73" i="16"/>
  <c r="AE73" i="16"/>
  <c r="AD73" i="16"/>
  <c r="AC73" i="16"/>
  <c r="AB73" i="16"/>
  <c r="AA73" i="16"/>
  <c r="Z73" i="16"/>
  <c r="Y73" i="16"/>
  <c r="X73" i="16"/>
  <c r="W73" i="16"/>
  <c r="AH72" i="16"/>
  <c r="AG72" i="16"/>
  <c r="AF72" i="16"/>
  <c r="AE72" i="16"/>
  <c r="AD72" i="16"/>
  <c r="AC72" i="16"/>
  <c r="AB72" i="16"/>
  <c r="AA72" i="16"/>
  <c r="Z72" i="16"/>
  <c r="Y72" i="16"/>
  <c r="X72" i="16"/>
  <c r="W72" i="16"/>
  <c r="AH71" i="16"/>
  <c r="AG71" i="16"/>
  <c r="AF71" i="16"/>
  <c r="AE71" i="16"/>
  <c r="AD71" i="16"/>
  <c r="AC71" i="16"/>
  <c r="AB71" i="16"/>
  <c r="AA71" i="16"/>
  <c r="Z71" i="16"/>
  <c r="Y71" i="16"/>
  <c r="X71" i="16"/>
  <c r="W71" i="16"/>
  <c r="AH66" i="16"/>
  <c r="AG66" i="16"/>
  <c r="AF66" i="16"/>
  <c r="AE66" i="16"/>
  <c r="AD66" i="16"/>
  <c r="AC66" i="16"/>
  <c r="AB66" i="16"/>
  <c r="AA66" i="16"/>
  <c r="Z66" i="16"/>
  <c r="Y66" i="16"/>
  <c r="X66" i="16"/>
  <c r="W66" i="16"/>
  <c r="AH65" i="16"/>
  <c r="AG65" i="16"/>
  <c r="AF65" i="16"/>
  <c r="AE65" i="16"/>
  <c r="AD65" i="16"/>
  <c r="AC65" i="16"/>
  <c r="AB65" i="16"/>
  <c r="AA65" i="16"/>
  <c r="Z65" i="16"/>
  <c r="Y65" i="16"/>
  <c r="X65" i="16"/>
  <c r="W65" i="16"/>
  <c r="AH64" i="16"/>
  <c r="AG64" i="16"/>
  <c r="AF64" i="16"/>
  <c r="AE64" i="16"/>
  <c r="AD64" i="16"/>
  <c r="AC64" i="16"/>
  <c r="AB64" i="16"/>
  <c r="AA64" i="16"/>
  <c r="Z64" i="16"/>
  <c r="Y64" i="16"/>
  <c r="X64" i="16"/>
  <c r="W64" i="16"/>
  <c r="AH59" i="16"/>
  <c r="AG59" i="16"/>
  <c r="AF59" i="16"/>
  <c r="AE59" i="16"/>
  <c r="AD59" i="16"/>
  <c r="AC59" i="16"/>
  <c r="AB59" i="16"/>
  <c r="AA59" i="16"/>
  <c r="Z59" i="16"/>
  <c r="Y59" i="16"/>
  <c r="X59" i="16"/>
  <c r="W59" i="16"/>
  <c r="AH58" i="16"/>
  <c r="AG58" i="16"/>
  <c r="AF58" i="16"/>
  <c r="AE58" i="16"/>
  <c r="AD58" i="16"/>
  <c r="AC58" i="16"/>
  <c r="AB58" i="16"/>
  <c r="AA58" i="16"/>
  <c r="Z58" i="16"/>
  <c r="Y58" i="16"/>
  <c r="X58" i="16"/>
  <c r="W58" i="16"/>
  <c r="AH57" i="16"/>
  <c r="AG57" i="16"/>
  <c r="AF57" i="16"/>
  <c r="AE57" i="16"/>
  <c r="AD57" i="16"/>
  <c r="AC57" i="16"/>
  <c r="AB57" i="16"/>
  <c r="AA57" i="16"/>
  <c r="Z57" i="16"/>
  <c r="Y57" i="16"/>
  <c r="X57" i="16"/>
  <c r="W57" i="16"/>
  <c r="AH56" i="16"/>
  <c r="AG56" i="16"/>
  <c r="AF56" i="16"/>
  <c r="AE56" i="16"/>
  <c r="AD56" i="16"/>
  <c r="AC56" i="16"/>
  <c r="AB56" i="16"/>
  <c r="AA56" i="16"/>
  <c r="Z56" i="16"/>
  <c r="Y56" i="16"/>
  <c r="X56" i="16"/>
  <c r="W56" i="16"/>
  <c r="AH55" i="16"/>
  <c r="AG55" i="16"/>
  <c r="AF55" i="16"/>
  <c r="AE55" i="16"/>
  <c r="AD55" i="16"/>
  <c r="AC55" i="16"/>
  <c r="AB55" i="16"/>
  <c r="AA55" i="16"/>
  <c r="Z55" i="16"/>
  <c r="Y55" i="16"/>
  <c r="X55" i="16"/>
  <c r="W55" i="16"/>
  <c r="AH54" i="16"/>
  <c r="AG54" i="16"/>
  <c r="AF54" i="16"/>
  <c r="AE54" i="16"/>
  <c r="AD54" i="16"/>
  <c r="AC54" i="16"/>
  <c r="AB54" i="16"/>
  <c r="AA54" i="16"/>
  <c r="Z54" i="16"/>
  <c r="Y54" i="16"/>
  <c r="X54" i="16"/>
  <c r="W54" i="16"/>
  <c r="AH53" i="16"/>
  <c r="AG53" i="16"/>
  <c r="AF53" i="16"/>
  <c r="AE53" i="16"/>
  <c r="AD53" i="16"/>
  <c r="AC53" i="16"/>
  <c r="AB53" i="16"/>
  <c r="AA53" i="16"/>
  <c r="Z53" i="16"/>
  <c r="Y53" i="16"/>
  <c r="X53" i="16"/>
  <c r="W53" i="16"/>
  <c r="AH52" i="16"/>
  <c r="AG52" i="16"/>
  <c r="AF52" i="16"/>
  <c r="AE52" i="16"/>
  <c r="AD52" i="16"/>
  <c r="AC52" i="16"/>
  <c r="AB52" i="16"/>
  <c r="AA52" i="16"/>
  <c r="Z52" i="16"/>
  <c r="Y52" i="16"/>
  <c r="X52" i="16"/>
  <c r="W52" i="16"/>
  <c r="AH51" i="16"/>
  <c r="AG51" i="16"/>
  <c r="AF51" i="16"/>
  <c r="AE51" i="16"/>
  <c r="AD51" i="16"/>
  <c r="AC51" i="16"/>
  <c r="AB51" i="16"/>
  <c r="AA51" i="16"/>
  <c r="Z51" i="16"/>
  <c r="Y51" i="16"/>
  <c r="X51" i="16"/>
  <c r="W51" i="16"/>
  <c r="AH50" i="16"/>
  <c r="AG50" i="16"/>
  <c r="AF50" i="16"/>
  <c r="AE50" i="16"/>
  <c r="AD50" i="16"/>
  <c r="AC50" i="16"/>
  <c r="AB50" i="16"/>
  <c r="AA50" i="16"/>
  <c r="Z50" i="16"/>
  <c r="Y50" i="16"/>
  <c r="X50" i="16"/>
  <c r="W50" i="16"/>
  <c r="AH49" i="16"/>
  <c r="AG49" i="16"/>
  <c r="AF49" i="16"/>
  <c r="AE49" i="16"/>
  <c r="AD49" i="16"/>
  <c r="AC49" i="16"/>
  <c r="AB49" i="16"/>
  <c r="AA49" i="16"/>
  <c r="Z49" i="16"/>
  <c r="Y49" i="16"/>
  <c r="X49" i="16"/>
  <c r="W49" i="16"/>
  <c r="AH48" i="16"/>
  <c r="AG48" i="16"/>
  <c r="AF48" i="16"/>
  <c r="AE48" i="16"/>
  <c r="AD48" i="16"/>
  <c r="AC48" i="16"/>
  <c r="AB48" i="16"/>
  <c r="AA48" i="16"/>
  <c r="Z48" i="16"/>
  <c r="Y48" i="16"/>
  <c r="X48" i="16"/>
  <c r="W48" i="16"/>
  <c r="AH43" i="16"/>
  <c r="AG43" i="16"/>
  <c r="AF43" i="16"/>
  <c r="AE43" i="16"/>
  <c r="AD43" i="16"/>
  <c r="AC43" i="16"/>
  <c r="AB43" i="16"/>
  <c r="AA43" i="16"/>
  <c r="Z43" i="16"/>
  <c r="Y43" i="16"/>
  <c r="X43" i="16"/>
  <c r="W43" i="16"/>
  <c r="AH42" i="16"/>
  <c r="AG42" i="16"/>
  <c r="AF42" i="16"/>
  <c r="AE42" i="16"/>
  <c r="AD42" i="16"/>
  <c r="AC42" i="16"/>
  <c r="AB42" i="16"/>
  <c r="AA42" i="16"/>
  <c r="Z42" i="16"/>
  <c r="Y42" i="16"/>
  <c r="X42" i="16"/>
  <c r="W42" i="16"/>
  <c r="AH41" i="16"/>
  <c r="AG41" i="16"/>
  <c r="AF41" i="16"/>
  <c r="AE41" i="16"/>
  <c r="AD41" i="16"/>
  <c r="AC41" i="16"/>
  <c r="AB41" i="16"/>
  <c r="AA41" i="16"/>
  <c r="Z41" i="16"/>
  <c r="Y41" i="16"/>
  <c r="X41" i="16"/>
  <c r="W41" i="16"/>
  <c r="AH40" i="16"/>
  <c r="AG40" i="16"/>
  <c r="AF40" i="16"/>
  <c r="AE40" i="16"/>
  <c r="AD40" i="16"/>
  <c r="AC40" i="16"/>
  <c r="AB40" i="16"/>
  <c r="AA40" i="16"/>
  <c r="Z40" i="16"/>
  <c r="Y40" i="16"/>
  <c r="X40" i="16"/>
  <c r="W40" i="16"/>
  <c r="AH39" i="16"/>
  <c r="AG39" i="16"/>
  <c r="AF39" i="16"/>
  <c r="AE39" i="16"/>
  <c r="AD39" i="16"/>
  <c r="AC39" i="16"/>
  <c r="AB39" i="16"/>
  <c r="AA39" i="16"/>
  <c r="Z39" i="16"/>
  <c r="Y39" i="16"/>
  <c r="X39" i="16"/>
  <c r="W39" i="16"/>
  <c r="AH38" i="16"/>
  <c r="AG38" i="16"/>
  <c r="AF38" i="16"/>
  <c r="AE38" i="16"/>
  <c r="AD38" i="16"/>
  <c r="AC38" i="16"/>
  <c r="AB38" i="16"/>
  <c r="AA38" i="16"/>
  <c r="Z38" i="16"/>
  <c r="Y38" i="16"/>
  <c r="X38" i="16"/>
  <c r="W38" i="16"/>
  <c r="AH37" i="16"/>
  <c r="AG37" i="16"/>
  <c r="AF37" i="16"/>
  <c r="AE37" i="16"/>
  <c r="AD37" i="16"/>
  <c r="AC37" i="16"/>
  <c r="AB37" i="16"/>
  <c r="AA37" i="16"/>
  <c r="Z37" i="16"/>
  <c r="Y37" i="16"/>
  <c r="X37" i="16"/>
  <c r="W37" i="16"/>
  <c r="AH36" i="16"/>
  <c r="AG36" i="16"/>
  <c r="AF36" i="16"/>
  <c r="AE36" i="16"/>
  <c r="AD36" i="16"/>
  <c r="AC36" i="16"/>
  <c r="AB36" i="16"/>
  <c r="AA36" i="16"/>
  <c r="Z36" i="16"/>
  <c r="Y36" i="16"/>
  <c r="X36" i="16"/>
  <c r="W36" i="16"/>
  <c r="AH35" i="16"/>
  <c r="AG35" i="16"/>
  <c r="AF35" i="16"/>
  <c r="AE35" i="16"/>
  <c r="AD35" i="16"/>
  <c r="AC35" i="16"/>
  <c r="AB35" i="16"/>
  <c r="AA35" i="16"/>
  <c r="Z35" i="16"/>
  <c r="Y35" i="16"/>
  <c r="X35" i="16"/>
  <c r="W35" i="16"/>
  <c r="AH34" i="16"/>
  <c r="AG34" i="16"/>
  <c r="AF34" i="16"/>
  <c r="AE34" i="16"/>
  <c r="AD34" i="16"/>
  <c r="AC34" i="16"/>
  <c r="AB34" i="16"/>
  <c r="AA34" i="16"/>
  <c r="Z34" i="16"/>
  <c r="Y34" i="16"/>
  <c r="X34" i="16"/>
  <c r="W34" i="16"/>
  <c r="AH33" i="16"/>
  <c r="AG33" i="16"/>
  <c r="AF33" i="16"/>
  <c r="AE33" i="16"/>
  <c r="AD33" i="16"/>
  <c r="AC33" i="16"/>
  <c r="AB33" i="16"/>
  <c r="AA33" i="16"/>
  <c r="Z33" i="16"/>
  <c r="Y33" i="16"/>
  <c r="X33" i="16"/>
  <c r="W33" i="16"/>
  <c r="AH32" i="16"/>
  <c r="AG32" i="16"/>
  <c r="AF32" i="16"/>
  <c r="AE32" i="16"/>
  <c r="AD32" i="16"/>
  <c r="AC32" i="16"/>
  <c r="AB32" i="16"/>
  <c r="AA32" i="16"/>
  <c r="Z32" i="16"/>
  <c r="Y32" i="16"/>
  <c r="X32" i="16"/>
  <c r="W32" i="16"/>
  <c r="AH31" i="16"/>
  <c r="AG31" i="16"/>
  <c r="AF31" i="16"/>
  <c r="AE31" i="16"/>
  <c r="AD31" i="16"/>
  <c r="AC31" i="16"/>
  <c r="AB31" i="16"/>
  <c r="AA31" i="16"/>
  <c r="Z31" i="16"/>
  <c r="Y31" i="16"/>
  <c r="X31" i="16"/>
  <c r="W31" i="16"/>
  <c r="AH30" i="16"/>
  <c r="AG30" i="16"/>
  <c r="AF30" i="16"/>
  <c r="AE30" i="16"/>
  <c r="AD30" i="16"/>
  <c r="AC30" i="16"/>
  <c r="AB30" i="16"/>
  <c r="AA30" i="16"/>
  <c r="Z30" i="16"/>
  <c r="Y30" i="16"/>
  <c r="X30" i="16"/>
  <c r="W30" i="16"/>
  <c r="AH29" i="16"/>
  <c r="AG29" i="16"/>
  <c r="AF29" i="16"/>
  <c r="AE29" i="16"/>
  <c r="AD29" i="16"/>
  <c r="AC29" i="16"/>
  <c r="AB29" i="16"/>
  <c r="AA29" i="16"/>
  <c r="Z29" i="16"/>
  <c r="Y29" i="16"/>
  <c r="X29" i="16"/>
  <c r="W29" i="16"/>
  <c r="AH28" i="16"/>
  <c r="AG28" i="16"/>
  <c r="AF28" i="16"/>
  <c r="AE28" i="16"/>
  <c r="AD28" i="16"/>
  <c r="AC28" i="16"/>
  <c r="AB28" i="16"/>
  <c r="AA28" i="16"/>
  <c r="Z28" i="16"/>
  <c r="Y28" i="16"/>
  <c r="X28" i="16"/>
  <c r="W28" i="16"/>
  <c r="AH27" i="16"/>
  <c r="AG27" i="16"/>
  <c r="AF27" i="16"/>
  <c r="AE27" i="16"/>
  <c r="AD27" i="16"/>
  <c r="AC27" i="16"/>
  <c r="AB27" i="16"/>
  <c r="AA27" i="16"/>
  <c r="Z27" i="16"/>
  <c r="Y27" i="16"/>
  <c r="X27" i="16"/>
  <c r="W27" i="16"/>
  <c r="AH26" i="16"/>
  <c r="AG26" i="16"/>
  <c r="AF26" i="16"/>
  <c r="AE26" i="16"/>
  <c r="AD26" i="16"/>
  <c r="AC26" i="16"/>
  <c r="AB26" i="16"/>
  <c r="AA26" i="16"/>
  <c r="Z26" i="16"/>
  <c r="Y26" i="16"/>
  <c r="X26" i="16"/>
  <c r="W26" i="16"/>
  <c r="AH25" i="16"/>
  <c r="AG25" i="16"/>
  <c r="AF25" i="16"/>
  <c r="AE25" i="16"/>
  <c r="AD25" i="16"/>
  <c r="AC25" i="16"/>
  <c r="AB25" i="16"/>
  <c r="AA25" i="16"/>
  <c r="Z25" i="16"/>
  <c r="Y25" i="16"/>
  <c r="X25" i="16"/>
  <c r="W25" i="16"/>
  <c r="AH24" i="16"/>
  <c r="AG24" i="16"/>
  <c r="AF24" i="16"/>
  <c r="AE24" i="16"/>
  <c r="AD24" i="16"/>
  <c r="AC24" i="16"/>
  <c r="AB24" i="16"/>
  <c r="AA24" i="16"/>
  <c r="Z24" i="16"/>
  <c r="Y24" i="16"/>
  <c r="X24" i="16"/>
  <c r="W24" i="16"/>
  <c r="AH23" i="16"/>
  <c r="AG23" i="16"/>
  <c r="AF23" i="16"/>
  <c r="AE23" i="16"/>
  <c r="AD23" i="16"/>
  <c r="AC23" i="16"/>
  <c r="AB23" i="16"/>
  <c r="AA23" i="16"/>
  <c r="Z23" i="16"/>
  <c r="Y23" i="16"/>
  <c r="X23" i="16"/>
  <c r="W23" i="16"/>
  <c r="AH22" i="16"/>
  <c r="AG22" i="16"/>
  <c r="AF22" i="16"/>
  <c r="AE22" i="16"/>
  <c r="AD22" i="16"/>
  <c r="AC22" i="16"/>
  <c r="AB22" i="16"/>
  <c r="AA22" i="16"/>
  <c r="Z22" i="16"/>
  <c r="Y22" i="16"/>
  <c r="X22" i="16"/>
  <c r="W22" i="16"/>
  <c r="AH21" i="16"/>
  <c r="AG21" i="16"/>
  <c r="AF21" i="16"/>
  <c r="AE21" i="16"/>
  <c r="AD21" i="16"/>
  <c r="AC21" i="16"/>
  <c r="AB21" i="16"/>
  <c r="AA21" i="16"/>
  <c r="Z21" i="16"/>
  <c r="Y21" i="16"/>
  <c r="X21" i="16"/>
  <c r="W21" i="16"/>
  <c r="AH20" i="16"/>
  <c r="AG20" i="16"/>
  <c r="AF20" i="16"/>
  <c r="AE20" i="16"/>
  <c r="AD20" i="16"/>
  <c r="AC20" i="16"/>
  <c r="AB20" i="16"/>
  <c r="AA20" i="16"/>
  <c r="Z20" i="16"/>
  <c r="Y20" i="16"/>
  <c r="X20" i="16"/>
  <c r="W20" i="16"/>
  <c r="AH19" i="16"/>
  <c r="AG19" i="16"/>
  <c r="AF19" i="16"/>
  <c r="AE19" i="16"/>
  <c r="AD19" i="16"/>
  <c r="AC19" i="16"/>
  <c r="AB19" i="16"/>
  <c r="AA19" i="16"/>
  <c r="Z19" i="16"/>
  <c r="Y19" i="16"/>
  <c r="X19" i="16"/>
  <c r="W19" i="16"/>
  <c r="AH18" i="16"/>
  <c r="AG18" i="16"/>
  <c r="AF18" i="16"/>
  <c r="AE18" i="16"/>
  <c r="AD18" i="16"/>
  <c r="AC18" i="16"/>
  <c r="AB18" i="16"/>
  <c r="AA18" i="16"/>
  <c r="Z18" i="16"/>
  <c r="Y18" i="16"/>
  <c r="X18" i="16"/>
  <c r="W18" i="16"/>
  <c r="AH17" i="16"/>
  <c r="AG17" i="16"/>
  <c r="AF17" i="16"/>
  <c r="AE17" i="16"/>
  <c r="AD17" i="16"/>
  <c r="AC17" i="16"/>
  <c r="AB17" i="16"/>
  <c r="AA17" i="16"/>
  <c r="Z17" i="16"/>
  <c r="Y17" i="16"/>
  <c r="X17" i="16"/>
  <c r="W17" i="16"/>
  <c r="AH16" i="16"/>
  <c r="AG16" i="16"/>
  <c r="AF16" i="16"/>
  <c r="AE16" i="16"/>
  <c r="AD16" i="16"/>
  <c r="AC16" i="16"/>
  <c r="AB16" i="16"/>
  <c r="AA16" i="16"/>
  <c r="Z16" i="16"/>
  <c r="Y16" i="16"/>
  <c r="X16" i="16"/>
  <c r="W16" i="16"/>
  <c r="AH15" i="16"/>
  <c r="AG15" i="16"/>
  <c r="AF15" i="16"/>
  <c r="AE15" i="16"/>
  <c r="AD15" i="16"/>
  <c r="AC15" i="16"/>
  <c r="AB15" i="16"/>
  <c r="AA15" i="16"/>
  <c r="Z15" i="16"/>
  <c r="Y15" i="16"/>
  <c r="X15" i="16"/>
  <c r="W15" i="16"/>
  <c r="AH14" i="16"/>
  <c r="AG14" i="16"/>
  <c r="AF14" i="16"/>
  <c r="AE14" i="16"/>
  <c r="AD14" i="16"/>
  <c r="AC14" i="16"/>
  <c r="AB14" i="16"/>
  <c r="AA14" i="16"/>
  <c r="Z14" i="16"/>
  <c r="Y14" i="16"/>
  <c r="X14" i="16"/>
  <c r="W14" i="16"/>
  <c r="AH13" i="16"/>
  <c r="AG13" i="16"/>
  <c r="AF13" i="16"/>
  <c r="AE13" i="16"/>
  <c r="AD13" i="16"/>
  <c r="AC13" i="16"/>
  <c r="AB13" i="16"/>
  <c r="AA13" i="16"/>
  <c r="Z13" i="16"/>
  <c r="Y13" i="16"/>
  <c r="X13" i="16"/>
  <c r="W13" i="16"/>
  <c r="AG12" i="16"/>
  <c r="AH12" i="16"/>
  <c r="AF12" i="16"/>
  <c r="AA12" i="16"/>
  <c r="AB12" i="16"/>
  <c r="AC12" i="16"/>
  <c r="AD12" i="16"/>
  <c r="AE12" i="16"/>
  <c r="Z12" i="16"/>
  <c r="X12" i="16"/>
  <c r="Y12" i="16"/>
  <c r="AH432" i="9"/>
  <c r="AG432" i="9"/>
  <c r="AF432" i="9"/>
  <c r="AE432" i="9"/>
  <c r="AD432" i="9"/>
  <c r="AC432" i="9"/>
  <c r="AB432" i="9"/>
  <c r="AA432" i="9"/>
  <c r="Z432" i="9"/>
  <c r="Y432" i="9"/>
  <c r="X432" i="9"/>
  <c r="W432" i="9"/>
  <c r="AH431" i="9"/>
  <c r="AG431" i="9"/>
  <c r="AF431" i="9"/>
  <c r="AE431" i="9"/>
  <c r="AD431" i="9"/>
  <c r="AC431" i="9"/>
  <c r="AB431" i="9"/>
  <c r="AA431" i="9"/>
  <c r="Z431" i="9"/>
  <c r="Y431" i="9"/>
  <c r="X431" i="9"/>
  <c r="W431" i="9"/>
  <c r="AH430" i="9"/>
  <c r="AG430" i="9"/>
  <c r="AF430" i="9"/>
  <c r="AE430" i="9"/>
  <c r="AD430" i="9"/>
  <c r="AC430" i="9"/>
  <c r="AB430" i="9"/>
  <c r="AA430" i="9"/>
  <c r="Z430" i="9"/>
  <c r="Y430" i="9"/>
  <c r="X430" i="9"/>
  <c r="W430" i="9"/>
  <c r="AH429" i="9"/>
  <c r="AG429" i="9"/>
  <c r="AF429" i="9"/>
  <c r="AE429" i="9"/>
  <c r="AD429" i="9"/>
  <c r="AC429" i="9"/>
  <c r="AB429" i="9"/>
  <c r="AA429" i="9"/>
  <c r="Z429" i="9"/>
  <c r="Y429" i="9"/>
  <c r="X429" i="9"/>
  <c r="W429" i="9"/>
  <c r="AH428" i="9"/>
  <c r="AG428" i="9"/>
  <c r="AF428" i="9"/>
  <c r="AE428" i="9"/>
  <c r="AD428" i="9"/>
  <c r="AC428" i="9"/>
  <c r="AB428" i="9"/>
  <c r="AA428" i="9"/>
  <c r="Z428" i="9"/>
  <c r="Y428" i="9"/>
  <c r="X428" i="9"/>
  <c r="W428" i="9"/>
  <c r="AH427" i="9"/>
  <c r="AG427" i="9"/>
  <c r="AF427" i="9"/>
  <c r="AE427" i="9"/>
  <c r="AD427" i="9"/>
  <c r="AC427" i="9"/>
  <c r="AB427" i="9"/>
  <c r="AA427" i="9"/>
  <c r="Z427" i="9"/>
  <c r="Y427" i="9"/>
  <c r="X427" i="9"/>
  <c r="W427" i="9"/>
  <c r="AH426" i="9"/>
  <c r="AG426" i="9"/>
  <c r="AF426" i="9"/>
  <c r="AE426" i="9"/>
  <c r="AD426" i="9"/>
  <c r="AC426" i="9"/>
  <c r="AB426" i="9"/>
  <c r="AA426" i="9"/>
  <c r="Z426" i="9"/>
  <c r="Y426" i="9"/>
  <c r="X426" i="9"/>
  <c r="W426" i="9"/>
  <c r="AH425" i="9"/>
  <c r="AG425" i="9"/>
  <c r="AF425" i="9"/>
  <c r="AE425" i="9"/>
  <c r="AD425" i="9"/>
  <c r="AC425" i="9"/>
  <c r="AB425" i="9"/>
  <c r="AA425" i="9"/>
  <c r="Z425" i="9"/>
  <c r="Y425" i="9"/>
  <c r="X425" i="9"/>
  <c r="W425" i="9"/>
  <c r="AH424" i="9"/>
  <c r="AG424" i="9"/>
  <c r="AF424" i="9"/>
  <c r="AE424" i="9"/>
  <c r="AD424" i="9"/>
  <c r="AC424" i="9"/>
  <c r="AB424" i="9"/>
  <c r="AA424" i="9"/>
  <c r="Z424" i="9"/>
  <c r="Y424" i="9"/>
  <c r="X424" i="9"/>
  <c r="W424" i="9"/>
  <c r="AH423" i="9"/>
  <c r="AG423" i="9"/>
  <c r="AF423" i="9"/>
  <c r="AE423" i="9"/>
  <c r="AD423" i="9"/>
  <c r="AC423" i="9"/>
  <c r="AB423" i="9"/>
  <c r="AA423" i="9"/>
  <c r="Z423" i="9"/>
  <c r="Y423" i="9"/>
  <c r="X423" i="9"/>
  <c r="W423" i="9"/>
  <c r="AH422" i="9"/>
  <c r="AG422" i="9"/>
  <c r="AF422" i="9"/>
  <c r="AE422" i="9"/>
  <c r="AD422" i="9"/>
  <c r="AC422" i="9"/>
  <c r="AB422" i="9"/>
  <c r="AA422" i="9"/>
  <c r="Z422" i="9"/>
  <c r="Y422" i="9"/>
  <c r="X422" i="9"/>
  <c r="W422" i="9"/>
  <c r="AH421" i="9"/>
  <c r="AG421" i="9"/>
  <c r="AF421" i="9"/>
  <c r="AE421" i="9"/>
  <c r="AD421" i="9"/>
  <c r="AC421" i="9"/>
  <c r="AB421" i="9"/>
  <c r="AA421" i="9"/>
  <c r="Z421" i="9"/>
  <c r="Y421" i="9"/>
  <c r="X421" i="9"/>
  <c r="W421" i="9"/>
  <c r="AH416" i="9"/>
  <c r="AG416" i="9"/>
  <c r="AF416" i="9"/>
  <c r="AE416" i="9"/>
  <c r="AD416" i="9"/>
  <c r="AC416" i="9"/>
  <c r="AB416" i="9"/>
  <c r="AA416" i="9"/>
  <c r="Z416" i="9"/>
  <c r="Y416" i="9"/>
  <c r="X416" i="9"/>
  <c r="W416" i="9"/>
  <c r="AH415" i="9"/>
  <c r="AG415" i="9"/>
  <c r="AF415" i="9"/>
  <c r="AE415" i="9"/>
  <c r="AD415" i="9"/>
  <c r="AC415" i="9"/>
  <c r="AB415" i="9"/>
  <c r="AA415" i="9"/>
  <c r="Z415" i="9"/>
  <c r="Y415" i="9"/>
  <c r="X415" i="9"/>
  <c r="W415" i="9"/>
  <c r="AH414" i="9"/>
  <c r="AG414" i="9"/>
  <c r="AF414" i="9"/>
  <c r="AE414" i="9"/>
  <c r="AD414" i="9"/>
  <c r="AC414" i="9"/>
  <c r="AB414" i="9"/>
  <c r="AA414" i="9"/>
  <c r="Z414" i="9"/>
  <c r="Y414" i="9"/>
  <c r="X414" i="9"/>
  <c r="W414" i="9"/>
  <c r="AH413" i="9"/>
  <c r="AG413" i="9"/>
  <c r="AF413" i="9"/>
  <c r="AE413" i="9"/>
  <c r="AD413" i="9"/>
  <c r="AC413" i="9"/>
  <c r="AB413" i="9"/>
  <c r="AA413" i="9"/>
  <c r="Z413" i="9"/>
  <c r="Y413" i="9"/>
  <c r="X413" i="9"/>
  <c r="W413" i="9"/>
  <c r="AH412" i="9"/>
  <c r="AG412" i="9"/>
  <c r="AF412" i="9"/>
  <c r="AE412" i="9"/>
  <c r="AD412" i="9"/>
  <c r="AC412" i="9"/>
  <c r="AB412" i="9"/>
  <c r="AA412" i="9"/>
  <c r="Z412" i="9"/>
  <c r="Y412" i="9"/>
  <c r="X412" i="9"/>
  <c r="W412" i="9"/>
  <c r="AH411" i="9"/>
  <c r="AG411" i="9"/>
  <c r="AF411" i="9"/>
  <c r="AE411" i="9"/>
  <c r="AD411" i="9"/>
  <c r="AC411" i="9"/>
  <c r="AB411" i="9"/>
  <c r="AA411" i="9"/>
  <c r="Z411" i="9"/>
  <c r="Y411" i="9"/>
  <c r="X411" i="9"/>
  <c r="W411" i="9"/>
  <c r="AH410" i="9"/>
  <c r="AG410" i="9"/>
  <c r="AF410" i="9"/>
  <c r="AE410" i="9"/>
  <c r="AD410" i="9"/>
  <c r="AC410" i="9"/>
  <c r="AB410" i="9"/>
  <c r="AA410" i="9"/>
  <c r="Z410" i="9"/>
  <c r="Y410" i="9"/>
  <c r="X410" i="9"/>
  <c r="W410" i="9"/>
  <c r="AH409" i="9"/>
  <c r="AG409" i="9"/>
  <c r="AF409" i="9"/>
  <c r="AE409" i="9"/>
  <c r="AD409" i="9"/>
  <c r="AC409" i="9"/>
  <c r="AB409" i="9"/>
  <c r="AA409" i="9"/>
  <c r="Z409" i="9"/>
  <c r="Y409" i="9"/>
  <c r="X409" i="9"/>
  <c r="W409" i="9"/>
  <c r="AH408" i="9"/>
  <c r="AG408" i="9"/>
  <c r="AF408" i="9"/>
  <c r="AE408" i="9"/>
  <c r="AD408" i="9"/>
  <c r="AC408" i="9"/>
  <c r="AB408" i="9"/>
  <c r="AA408" i="9"/>
  <c r="Z408" i="9"/>
  <c r="Y408" i="9"/>
  <c r="X408" i="9"/>
  <c r="W408" i="9"/>
  <c r="AH407" i="9"/>
  <c r="AG407" i="9"/>
  <c r="AF407" i="9"/>
  <c r="AE407" i="9"/>
  <c r="AD407" i="9"/>
  <c r="AC407" i="9"/>
  <c r="AB407" i="9"/>
  <c r="AA407" i="9"/>
  <c r="Z407" i="9"/>
  <c r="Y407" i="9"/>
  <c r="X407" i="9"/>
  <c r="W407" i="9"/>
  <c r="AH406" i="9"/>
  <c r="AG406" i="9"/>
  <c r="AF406" i="9"/>
  <c r="AE406" i="9"/>
  <c r="AD406" i="9"/>
  <c r="AC406" i="9"/>
  <c r="AB406" i="9"/>
  <c r="AA406" i="9"/>
  <c r="Z406" i="9"/>
  <c r="Y406" i="9"/>
  <c r="X406" i="9"/>
  <c r="W406" i="9"/>
  <c r="AH405" i="9"/>
  <c r="AG405" i="9"/>
  <c r="AF405" i="9"/>
  <c r="AE405" i="9"/>
  <c r="AD405" i="9"/>
  <c r="AC405" i="9"/>
  <c r="AB405" i="9"/>
  <c r="AA405" i="9"/>
  <c r="Z405" i="9"/>
  <c r="Y405" i="9"/>
  <c r="X405" i="9"/>
  <c r="W405" i="9"/>
  <c r="AH404" i="9"/>
  <c r="AG404" i="9"/>
  <c r="AF404" i="9"/>
  <c r="AE404" i="9"/>
  <c r="AD404" i="9"/>
  <c r="AC404" i="9"/>
  <c r="AB404" i="9"/>
  <c r="AA404" i="9"/>
  <c r="Z404" i="9"/>
  <c r="Y404" i="9"/>
  <c r="X404" i="9"/>
  <c r="W404" i="9"/>
  <c r="AH403" i="9"/>
  <c r="AG403" i="9"/>
  <c r="AF403" i="9"/>
  <c r="AE403" i="9"/>
  <c r="AD403" i="9"/>
  <c r="AC403" i="9"/>
  <c r="AB403" i="9"/>
  <c r="AA403" i="9"/>
  <c r="Z403" i="9"/>
  <c r="Y403" i="9"/>
  <c r="X403" i="9"/>
  <c r="W403" i="9"/>
  <c r="AH402" i="9"/>
  <c r="AG402" i="9"/>
  <c r="AF402" i="9"/>
  <c r="AE402" i="9"/>
  <c r="AD402" i="9"/>
  <c r="AC402" i="9"/>
  <c r="AB402" i="9"/>
  <c r="AA402" i="9"/>
  <c r="Z402" i="9"/>
  <c r="Y402" i="9"/>
  <c r="X402" i="9"/>
  <c r="W402" i="9"/>
  <c r="AH401" i="9"/>
  <c r="AG401" i="9"/>
  <c r="AF401" i="9"/>
  <c r="AE401" i="9"/>
  <c r="AD401" i="9"/>
  <c r="AC401" i="9"/>
  <c r="AB401" i="9"/>
  <c r="AA401" i="9"/>
  <c r="Z401" i="9"/>
  <c r="Y401" i="9"/>
  <c r="X401" i="9"/>
  <c r="W401" i="9"/>
  <c r="AH400" i="9"/>
  <c r="AG400" i="9"/>
  <c r="AF400" i="9"/>
  <c r="AE400" i="9"/>
  <c r="AD400" i="9"/>
  <c r="AC400" i="9"/>
  <c r="AB400" i="9"/>
  <c r="AA400" i="9"/>
  <c r="Z400" i="9"/>
  <c r="Y400" i="9"/>
  <c r="X400" i="9"/>
  <c r="W400" i="9"/>
  <c r="AH399" i="9"/>
  <c r="AG399" i="9"/>
  <c r="AF399" i="9"/>
  <c r="AE399" i="9"/>
  <c r="AD399" i="9"/>
  <c r="AC399" i="9"/>
  <c r="AB399" i="9"/>
  <c r="AA399" i="9"/>
  <c r="Z399" i="9"/>
  <c r="Y399" i="9"/>
  <c r="X399" i="9"/>
  <c r="W399" i="9"/>
  <c r="AH398" i="9"/>
  <c r="AG398" i="9"/>
  <c r="AF398" i="9"/>
  <c r="AE398" i="9"/>
  <c r="AD398" i="9"/>
  <c r="AC398" i="9"/>
  <c r="AB398" i="9"/>
  <c r="AA398" i="9"/>
  <c r="Z398" i="9"/>
  <c r="Y398" i="9"/>
  <c r="X398" i="9"/>
  <c r="W398" i="9"/>
  <c r="AH397" i="9"/>
  <c r="AG397" i="9"/>
  <c r="AF397" i="9"/>
  <c r="AE397" i="9"/>
  <c r="AD397" i="9"/>
  <c r="AC397" i="9"/>
  <c r="AB397" i="9"/>
  <c r="AA397" i="9"/>
  <c r="Z397" i="9"/>
  <c r="Y397" i="9"/>
  <c r="X397" i="9"/>
  <c r="W397" i="9"/>
  <c r="AH396" i="9"/>
  <c r="AG396" i="9"/>
  <c r="AF396" i="9"/>
  <c r="AE396" i="9"/>
  <c r="AD396" i="9"/>
  <c r="AC396" i="9"/>
  <c r="AB396" i="9"/>
  <c r="AA396" i="9"/>
  <c r="Z396" i="9"/>
  <c r="Y396" i="9"/>
  <c r="X396" i="9"/>
  <c r="W396" i="9"/>
  <c r="AH395" i="9"/>
  <c r="AG395" i="9"/>
  <c r="AF395" i="9"/>
  <c r="AE395" i="9"/>
  <c r="AD395" i="9"/>
  <c r="AC395" i="9"/>
  <c r="AB395" i="9"/>
  <c r="AA395" i="9"/>
  <c r="Z395" i="9"/>
  <c r="Y395" i="9"/>
  <c r="X395" i="9"/>
  <c r="W395" i="9"/>
  <c r="AH394" i="9"/>
  <c r="AG394" i="9"/>
  <c r="AF394" i="9"/>
  <c r="AE394" i="9"/>
  <c r="AD394" i="9"/>
  <c r="AC394" i="9"/>
  <c r="AB394" i="9"/>
  <c r="AA394" i="9"/>
  <c r="Z394" i="9"/>
  <c r="Y394" i="9"/>
  <c r="X394" i="9"/>
  <c r="W394" i="9"/>
  <c r="AH393" i="9"/>
  <c r="AG393" i="9"/>
  <c r="AF393" i="9"/>
  <c r="AE393" i="9"/>
  <c r="AD393" i="9"/>
  <c r="AC393" i="9"/>
  <c r="AB393" i="9"/>
  <c r="AA393" i="9"/>
  <c r="Z393" i="9"/>
  <c r="Y393" i="9"/>
  <c r="X393" i="9"/>
  <c r="W393" i="9"/>
  <c r="AH392" i="9"/>
  <c r="AG392" i="9"/>
  <c r="AF392" i="9"/>
  <c r="AE392" i="9"/>
  <c r="AD392" i="9"/>
  <c r="AC392" i="9"/>
  <c r="AB392" i="9"/>
  <c r="AA392" i="9"/>
  <c r="Z392" i="9"/>
  <c r="Y392" i="9"/>
  <c r="X392" i="9"/>
  <c r="W392" i="9"/>
  <c r="AH391" i="9"/>
  <c r="AG391" i="9"/>
  <c r="AF391" i="9"/>
  <c r="AE391" i="9"/>
  <c r="AD391" i="9"/>
  <c r="AC391" i="9"/>
  <c r="AB391" i="9"/>
  <c r="AA391" i="9"/>
  <c r="Z391" i="9"/>
  <c r="Y391" i="9"/>
  <c r="X391" i="9"/>
  <c r="W391" i="9"/>
  <c r="AH390" i="9"/>
  <c r="AG390" i="9"/>
  <c r="AF390" i="9"/>
  <c r="AE390" i="9"/>
  <c r="AD390" i="9"/>
  <c r="AC390" i="9"/>
  <c r="AB390" i="9"/>
  <c r="AA390" i="9"/>
  <c r="Z390" i="9"/>
  <c r="Y390" i="9"/>
  <c r="X390" i="9"/>
  <c r="W390" i="9"/>
  <c r="AH389" i="9"/>
  <c r="AG389" i="9"/>
  <c r="AF389" i="9"/>
  <c r="AE389" i="9"/>
  <c r="AD389" i="9"/>
  <c r="AC389" i="9"/>
  <c r="AB389" i="9"/>
  <c r="AA389" i="9"/>
  <c r="Z389" i="9"/>
  <c r="Y389" i="9"/>
  <c r="X389" i="9"/>
  <c r="W389" i="9"/>
  <c r="AH388" i="9"/>
  <c r="AG388" i="9"/>
  <c r="AF388" i="9"/>
  <c r="AE388" i="9"/>
  <c r="AD388" i="9"/>
  <c r="AC388" i="9"/>
  <c r="AB388" i="9"/>
  <c r="AA388" i="9"/>
  <c r="Z388" i="9"/>
  <c r="Y388" i="9"/>
  <c r="X388" i="9"/>
  <c r="W388" i="9"/>
  <c r="AH387" i="9"/>
  <c r="AG387" i="9"/>
  <c r="AF387" i="9"/>
  <c r="AE387" i="9"/>
  <c r="AD387" i="9"/>
  <c r="AC387" i="9"/>
  <c r="AB387" i="9"/>
  <c r="AA387" i="9"/>
  <c r="Z387" i="9"/>
  <c r="Y387" i="9"/>
  <c r="X387" i="9"/>
  <c r="W387" i="9"/>
  <c r="AH386" i="9"/>
  <c r="AG386" i="9"/>
  <c r="AF386" i="9"/>
  <c r="AE386" i="9"/>
  <c r="AD386" i="9"/>
  <c r="AC386" i="9"/>
  <c r="AB386" i="9"/>
  <c r="AA386" i="9"/>
  <c r="Z386" i="9"/>
  <c r="Y386" i="9"/>
  <c r="X386" i="9"/>
  <c r="W386" i="9"/>
  <c r="AH385" i="9"/>
  <c r="AG385" i="9"/>
  <c r="AF385" i="9"/>
  <c r="AE385" i="9"/>
  <c r="AD385" i="9"/>
  <c r="AC385" i="9"/>
  <c r="AB385" i="9"/>
  <c r="AA385" i="9"/>
  <c r="Z385" i="9"/>
  <c r="Y385" i="9"/>
  <c r="X385" i="9"/>
  <c r="W385" i="9"/>
  <c r="AH384" i="9"/>
  <c r="AG384" i="9"/>
  <c r="AF384" i="9"/>
  <c r="AE384" i="9"/>
  <c r="AD384" i="9"/>
  <c r="AC384" i="9"/>
  <c r="AB384" i="9"/>
  <c r="AA384" i="9"/>
  <c r="Z384" i="9"/>
  <c r="Y384" i="9"/>
  <c r="X384" i="9"/>
  <c r="W384" i="9"/>
  <c r="AH383" i="9"/>
  <c r="AG383" i="9"/>
  <c r="AF383" i="9"/>
  <c r="AE383" i="9"/>
  <c r="AD383" i="9"/>
  <c r="AC383" i="9"/>
  <c r="AB383" i="9"/>
  <c r="AA383" i="9"/>
  <c r="Z383" i="9"/>
  <c r="Y383" i="9"/>
  <c r="X383" i="9"/>
  <c r="W383" i="9"/>
  <c r="AH382" i="9"/>
  <c r="AG382" i="9"/>
  <c r="AF382" i="9"/>
  <c r="AE382" i="9"/>
  <c r="AD382" i="9"/>
  <c r="AC382" i="9"/>
  <c r="AB382" i="9"/>
  <c r="AA382" i="9"/>
  <c r="Z382" i="9"/>
  <c r="Y382" i="9"/>
  <c r="X382" i="9"/>
  <c r="W382" i="9"/>
  <c r="AH381" i="9"/>
  <c r="AG381" i="9"/>
  <c r="AF381" i="9"/>
  <c r="AE381" i="9"/>
  <c r="AD381" i="9"/>
  <c r="AC381" i="9"/>
  <c r="AB381" i="9"/>
  <c r="AA381" i="9"/>
  <c r="Z381" i="9"/>
  <c r="Y381" i="9"/>
  <c r="X381" i="9"/>
  <c r="W381" i="9"/>
  <c r="AH380" i="9"/>
  <c r="AG380" i="9"/>
  <c r="AF380" i="9"/>
  <c r="AE380" i="9"/>
  <c r="AD380" i="9"/>
  <c r="AC380" i="9"/>
  <c r="AB380" i="9"/>
  <c r="AA380" i="9"/>
  <c r="Z380" i="9"/>
  <c r="Y380" i="9"/>
  <c r="X380" i="9"/>
  <c r="W380" i="9"/>
  <c r="AH379" i="9"/>
  <c r="AG379" i="9"/>
  <c r="AF379" i="9"/>
  <c r="AE379" i="9"/>
  <c r="AD379" i="9"/>
  <c r="AC379" i="9"/>
  <c r="AB379" i="9"/>
  <c r="AA379" i="9"/>
  <c r="Z379" i="9"/>
  <c r="Y379" i="9"/>
  <c r="X379" i="9"/>
  <c r="W379" i="9"/>
  <c r="AH378" i="9"/>
  <c r="AG378" i="9"/>
  <c r="AF378" i="9"/>
  <c r="AE378" i="9"/>
  <c r="AD378" i="9"/>
  <c r="AC378" i="9"/>
  <c r="AB378" i="9"/>
  <c r="AA378" i="9"/>
  <c r="Z378" i="9"/>
  <c r="Y378" i="9"/>
  <c r="X378" i="9"/>
  <c r="W378" i="9"/>
  <c r="AH377" i="9"/>
  <c r="AG377" i="9"/>
  <c r="AF377" i="9"/>
  <c r="AE377" i="9"/>
  <c r="AD377" i="9"/>
  <c r="AC377" i="9"/>
  <c r="AB377" i="9"/>
  <c r="AA377" i="9"/>
  <c r="Z377" i="9"/>
  <c r="Y377" i="9"/>
  <c r="X377" i="9"/>
  <c r="W377" i="9"/>
  <c r="AH376" i="9"/>
  <c r="AG376" i="9"/>
  <c r="AF376" i="9"/>
  <c r="AE376" i="9"/>
  <c r="AD376" i="9"/>
  <c r="AC376" i="9"/>
  <c r="AB376" i="9"/>
  <c r="AA376" i="9"/>
  <c r="Z376" i="9"/>
  <c r="Y376" i="9"/>
  <c r="X376" i="9"/>
  <c r="W376" i="9"/>
  <c r="AH375" i="9"/>
  <c r="AG375" i="9"/>
  <c r="AF375" i="9"/>
  <c r="AE375" i="9"/>
  <c r="AD375" i="9"/>
  <c r="AC375" i="9"/>
  <c r="AB375" i="9"/>
  <c r="AA375" i="9"/>
  <c r="Z375" i="9"/>
  <c r="Y375" i="9"/>
  <c r="X375" i="9"/>
  <c r="W375" i="9"/>
  <c r="AH374" i="9"/>
  <c r="AG374" i="9"/>
  <c r="AF374" i="9"/>
  <c r="AE374" i="9"/>
  <c r="AD374" i="9"/>
  <c r="AC374" i="9"/>
  <c r="AB374" i="9"/>
  <c r="AA374" i="9"/>
  <c r="Z374" i="9"/>
  <c r="Y374" i="9"/>
  <c r="X374" i="9"/>
  <c r="W374" i="9"/>
  <c r="AH373" i="9"/>
  <c r="AG373" i="9"/>
  <c r="AF373" i="9"/>
  <c r="AE373" i="9"/>
  <c r="AD373" i="9"/>
  <c r="AC373" i="9"/>
  <c r="AB373" i="9"/>
  <c r="AA373" i="9"/>
  <c r="Z373" i="9"/>
  <c r="Y373" i="9"/>
  <c r="X373" i="9"/>
  <c r="W373" i="9"/>
  <c r="AH372" i="9"/>
  <c r="AG372" i="9"/>
  <c r="AF372" i="9"/>
  <c r="AE372" i="9"/>
  <c r="AD372" i="9"/>
  <c r="AC372" i="9"/>
  <c r="AB372" i="9"/>
  <c r="AA372" i="9"/>
  <c r="Z372" i="9"/>
  <c r="Y372" i="9"/>
  <c r="X372" i="9"/>
  <c r="W372" i="9"/>
  <c r="AH371" i="9"/>
  <c r="AG371" i="9"/>
  <c r="AF371" i="9"/>
  <c r="AE371" i="9"/>
  <c r="AD371" i="9"/>
  <c r="AC371" i="9"/>
  <c r="AB371" i="9"/>
  <c r="AA371" i="9"/>
  <c r="Z371" i="9"/>
  <c r="Y371" i="9"/>
  <c r="X371" i="9"/>
  <c r="W371" i="9"/>
  <c r="AH370" i="9"/>
  <c r="AG370" i="9"/>
  <c r="AF370" i="9"/>
  <c r="AE370" i="9"/>
  <c r="AD370" i="9"/>
  <c r="AC370" i="9"/>
  <c r="AB370" i="9"/>
  <c r="AA370" i="9"/>
  <c r="Z370" i="9"/>
  <c r="Y370" i="9"/>
  <c r="X370" i="9"/>
  <c r="W370" i="9"/>
  <c r="AH369" i="9"/>
  <c r="AG369" i="9"/>
  <c r="AF369" i="9"/>
  <c r="AE369" i="9"/>
  <c r="AD369" i="9"/>
  <c r="AC369" i="9"/>
  <c r="AB369" i="9"/>
  <c r="AA369" i="9"/>
  <c r="Z369" i="9"/>
  <c r="Y369" i="9"/>
  <c r="X369" i="9"/>
  <c r="W369" i="9"/>
  <c r="AH368" i="9"/>
  <c r="AG368" i="9"/>
  <c r="AF368" i="9"/>
  <c r="AE368" i="9"/>
  <c r="AD368" i="9"/>
  <c r="AC368" i="9"/>
  <c r="AB368" i="9"/>
  <c r="AA368" i="9"/>
  <c r="Z368" i="9"/>
  <c r="Y368" i="9"/>
  <c r="X368" i="9"/>
  <c r="W368" i="9"/>
  <c r="AH367" i="9"/>
  <c r="AG367" i="9"/>
  <c r="AF367" i="9"/>
  <c r="AE367" i="9"/>
  <c r="AD367" i="9"/>
  <c r="AC367" i="9"/>
  <c r="AB367" i="9"/>
  <c r="AA367" i="9"/>
  <c r="Z367" i="9"/>
  <c r="Y367" i="9"/>
  <c r="X367" i="9"/>
  <c r="W367" i="9"/>
  <c r="AH366" i="9"/>
  <c r="AG366" i="9"/>
  <c r="AF366" i="9"/>
  <c r="AE366" i="9"/>
  <c r="AD366" i="9"/>
  <c r="AC366" i="9"/>
  <c r="AB366" i="9"/>
  <c r="AA366" i="9"/>
  <c r="Z366" i="9"/>
  <c r="Y366" i="9"/>
  <c r="X366" i="9"/>
  <c r="W366" i="9"/>
  <c r="AH359" i="9"/>
  <c r="AG359" i="9"/>
  <c r="AF359" i="9"/>
  <c r="AE359" i="9"/>
  <c r="AD359" i="9"/>
  <c r="AC359" i="9"/>
  <c r="AB359" i="9"/>
  <c r="AA359" i="9"/>
  <c r="Z359" i="9"/>
  <c r="Y359" i="9"/>
  <c r="X359" i="9"/>
  <c r="W359" i="9"/>
  <c r="AH358" i="9"/>
  <c r="AG358" i="9"/>
  <c r="AF358" i="9"/>
  <c r="AE358" i="9"/>
  <c r="AD358" i="9"/>
  <c r="AC358" i="9"/>
  <c r="AB358" i="9"/>
  <c r="AA358" i="9"/>
  <c r="Z358" i="9"/>
  <c r="Y358" i="9"/>
  <c r="X358" i="9"/>
  <c r="W358" i="9"/>
  <c r="AH357" i="9"/>
  <c r="AG357" i="9"/>
  <c r="AF357" i="9"/>
  <c r="AE357" i="9"/>
  <c r="AD357" i="9"/>
  <c r="AC357" i="9"/>
  <c r="AB357" i="9"/>
  <c r="AA357" i="9"/>
  <c r="Z357" i="9"/>
  <c r="Y357" i="9"/>
  <c r="X357" i="9"/>
  <c r="W357" i="9"/>
  <c r="AH356" i="9"/>
  <c r="AG356" i="9"/>
  <c r="AF356" i="9"/>
  <c r="AE356" i="9"/>
  <c r="AD356" i="9"/>
  <c r="AC356" i="9"/>
  <c r="AB356" i="9"/>
  <c r="AA356" i="9"/>
  <c r="Z356" i="9"/>
  <c r="Y356" i="9"/>
  <c r="X356" i="9"/>
  <c r="W356" i="9"/>
  <c r="AH355" i="9"/>
  <c r="AG355" i="9"/>
  <c r="AF355" i="9"/>
  <c r="AE355" i="9"/>
  <c r="AD355" i="9"/>
  <c r="AC355" i="9"/>
  <c r="AB355" i="9"/>
  <c r="AA355" i="9"/>
  <c r="Z355" i="9"/>
  <c r="Y355" i="9"/>
  <c r="X355" i="9"/>
  <c r="W355" i="9"/>
  <c r="AH354" i="9"/>
  <c r="AG354" i="9"/>
  <c r="AF354" i="9"/>
  <c r="AE354" i="9"/>
  <c r="AD354" i="9"/>
  <c r="AC354" i="9"/>
  <c r="AB354" i="9"/>
  <c r="AA354" i="9"/>
  <c r="Z354" i="9"/>
  <c r="Y354" i="9"/>
  <c r="X354" i="9"/>
  <c r="W354" i="9"/>
  <c r="AH353" i="9"/>
  <c r="AG353" i="9"/>
  <c r="AF353" i="9"/>
  <c r="AE353" i="9"/>
  <c r="AD353" i="9"/>
  <c r="AC353" i="9"/>
  <c r="AB353" i="9"/>
  <c r="AA353" i="9"/>
  <c r="Z353" i="9"/>
  <c r="Y353" i="9"/>
  <c r="X353" i="9"/>
  <c r="W353" i="9"/>
  <c r="AH352" i="9"/>
  <c r="AG352" i="9"/>
  <c r="AF352" i="9"/>
  <c r="AE352" i="9"/>
  <c r="AD352" i="9"/>
  <c r="AC352" i="9"/>
  <c r="AB352" i="9"/>
  <c r="AA352" i="9"/>
  <c r="Z352" i="9"/>
  <c r="Y352" i="9"/>
  <c r="X352" i="9"/>
  <c r="W352" i="9"/>
  <c r="AH351" i="9"/>
  <c r="AG351" i="9"/>
  <c r="AF351" i="9"/>
  <c r="AE351" i="9"/>
  <c r="AD351" i="9"/>
  <c r="AC351" i="9"/>
  <c r="AB351" i="9"/>
  <c r="AA351" i="9"/>
  <c r="Z351" i="9"/>
  <c r="Y351" i="9"/>
  <c r="X351" i="9"/>
  <c r="W351" i="9"/>
  <c r="AH350" i="9"/>
  <c r="AG350" i="9"/>
  <c r="AF350" i="9"/>
  <c r="AE350" i="9"/>
  <c r="AD350" i="9"/>
  <c r="AC350" i="9"/>
  <c r="AB350" i="9"/>
  <c r="AA350" i="9"/>
  <c r="Z350" i="9"/>
  <c r="Y350" i="9"/>
  <c r="X350" i="9"/>
  <c r="W350" i="9"/>
  <c r="AH349" i="9"/>
  <c r="AG349" i="9"/>
  <c r="AF349" i="9"/>
  <c r="AE349" i="9"/>
  <c r="AD349" i="9"/>
  <c r="AC349" i="9"/>
  <c r="AB349" i="9"/>
  <c r="AA349" i="9"/>
  <c r="Z349" i="9"/>
  <c r="Y349" i="9"/>
  <c r="X349" i="9"/>
  <c r="W349" i="9"/>
  <c r="AH348" i="9"/>
  <c r="AG348" i="9"/>
  <c r="AF348" i="9"/>
  <c r="AE348" i="9"/>
  <c r="AD348" i="9"/>
  <c r="AC348" i="9"/>
  <c r="AB348" i="9"/>
  <c r="AA348" i="9"/>
  <c r="Z348" i="9"/>
  <c r="Y348" i="9"/>
  <c r="X348" i="9"/>
  <c r="W348" i="9"/>
  <c r="AH347" i="9"/>
  <c r="AG347" i="9"/>
  <c r="AF347" i="9"/>
  <c r="AE347" i="9"/>
  <c r="AD347" i="9"/>
  <c r="AC347" i="9"/>
  <c r="AB347" i="9"/>
  <c r="AA347" i="9"/>
  <c r="Z347" i="9"/>
  <c r="Y347" i="9"/>
  <c r="X347" i="9"/>
  <c r="W347" i="9"/>
  <c r="AH346" i="9"/>
  <c r="AG346" i="9"/>
  <c r="AF346" i="9"/>
  <c r="AE346" i="9"/>
  <c r="AD346" i="9"/>
  <c r="AC346" i="9"/>
  <c r="AB346" i="9"/>
  <c r="AA346" i="9"/>
  <c r="Z346" i="9"/>
  <c r="Y346" i="9"/>
  <c r="X346" i="9"/>
  <c r="W346" i="9"/>
  <c r="AH345" i="9"/>
  <c r="AG345" i="9"/>
  <c r="AF345" i="9"/>
  <c r="AE345" i="9"/>
  <c r="AD345" i="9"/>
  <c r="AC345" i="9"/>
  <c r="AB345" i="9"/>
  <c r="AA345" i="9"/>
  <c r="Z345" i="9"/>
  <c r="Y345" i="9"/>
  <c r="X345" i="9"/>
  <c r="W345" i="9"/>
  <c r="AH344" i="9"/>
  <c r="AG344" i="9"/>
  <c r="AF344" i="9"/>
  <c r="AE344" i="9"/>
  <c r="AD344" i="9"/>
  <c r="AC344" i="9"/>
  <c r="AB344" i="9"/>
  <c r="AA344" i="9"/>
  <c r="Z344" i="9"/>
  <c r="Y344" i="9"/>
  <c r="X344" i="9"/>
  <c r="W344" i="9"/>
  <c r="AH343" i="9"/>
  <c r="AG343" i="9"/>
  <c r="AF343" i="9"/>
  <c r="AE343" i="9"/>
  <c r="AD343" i="9"/>
  <c r="AC343" i="9"/>
  <c r="AB343" i="9"/>
  <c r="AA343" i="9"/>
  <c r="Z343" i="9"/>
  <c r="Y343" i="9"/>
  <c r="X343" i="9"/>
  <c r="W343" i="9"/>
  <c r="AH342" i="9"/>
  <c r="AG342" i="9"/>
  <c r="AF342" i="9"/>
  <c r="AE342" i="9"/>
  <c r="AD342" i="9"/>
  <c r="AC342" i="9"/>
  <c r="AB342" i="9"/>
  <c r="AA342" i="9"/>
  <c r="Z342" i="9"/>
  <c r="Y342" i="9"/>
  <c r="X342" i="9"/>
  <c r="W342" i="9"/>
  <c r="AH341" i="9"/>
  <c r="AG341" i="9"/>
  <c r="AF341" i="9"/>
  <c r="AE341" i="9"/>
  <c r="AD341" i="9"/>
  <c r="AC341" i="9"/>
  <c r="AB341" i="9"/>
  <c r="AA341" i="9"/>
  <c r="Z341" i="9"/>
  <c r="Y341" i="9"/>
  <c r="X341" i="9"/>
  <c r="W341" i="9"/>
  <c r="AH340" i="9"/>
  <c r="AG340" i="9"/>
  <c r="AF340" i="9"/>
  <c r="AE340" i="9"/>
  <c r="AD340" i="9"/>
  <c r="AC340" i="9"/>
  <c r="AB340" i="9"/>
  <c r="AA340" i="9"/>
  <c r="Z340" i="9"/>
  <c r="Y340" i="9"/>
  <c r="X340" i="9"/>
  <c r="W340" i="9"/>
  <c r="AH339" i="9"/>
  <c r="AG339" i="9"/>
  <c r="AF339" i="9"/>
  <c r="AE339" i="9"/>
  <c r="AD339" i="9"/>
  <c r="AC339" i="9"/>
  <c r="AB339" i="9"/>
  <c r="AA339" i="9"/>
  <c r="Z339" i="9"/>
  <c r="Y339" i="9"/>
  <c r="X339" i="9"/>
  <c r="W339" i="9"/>
  <c r="AH338" i="9"/>
  <c r="AG338" i="9"/>
  <c r="AF338" i="9"/>
  <c r="AE338" i="9"/>
  <c r="AD338" i="9"/>
  <c r="AC338" i="9"/>
  <c r="AB338" i="9"/>
  <c r="AA338" i="9"/>
  <c r="Z338" i="9"/>
  <c r="Y338" i="9"/>
  <c r="X338" i="9"/>
  <c r="W338" i="9"/>
  <c r="AH337" i="9"/>
  <c r="AG337" i="9"/>
  <c r="AF337" i="9"/>
  <c r="AE337" i="9"/>
  <c r="AD337" i="9"/>
  <c r="AC337" i="9"/>
  <c r="AB337" i="9"/>
  <c r="AA337" i="9"/>
  <c r="Z337" i="9"/>
  <c r="Y337" i="9"/>
  <c r="X337" i="9"/>
  <c r="W337" i="9"/>
  <c r="AH336" i="9"/>
  <c r="AG336" i="9"/>
  <c r="AF336" i="9"/>
  <c r="AE336" i="9"/>
  <c r="AD336" i="9"/>
  <c r="AC336" i="9"/>
  <c r="AB336" i="9"/>
  <c r="AA336" i="9"/>
  <c r="Z336" i="9"/>
  <c r="Y336" i="9"/>
  <c r="X336" i="9"/>
  <c r="W336" i="9"/>
  <c r="AH335" i="9"/>
  <c r="AG335" i="9"/>
  <c r="AF335" i="9"/>
  <c r="AE335" i="9"/>
  <c r="AD335" i="9"/>
  <c r="AC335" i="9"/>
  <c r="AB335" i="9"/>
  <c r="AA335" i="9"/>
  <c r="Z335" i="9"/>
  <c r="Y335" i="9"/>
  <c r="X335" i="9"/>
  <c r="W335" i="9"/>
  <c r="AH334" i="9"/>
  <c r="AG334" i="9"/>
  <c r="AF334" i="9"/>
  <c r="AE334" i="9"/>
  <c r="AD334" i="9"/>
  <c r="AC334" i="9"/>
  <c r="AB334" i="9"/>
  <c r="AA334" i="9"/>
  <c r="Z334" i="9"/>
  <c r="Y334" i="9"/>
  <c r="X334" i="9"/>
  <c r="W334" i="9"/>
  <c r="AH333" i="9"/>
  <c r="AG333" i="9"/>
  <c r="AF333" i="9"/>
  <c r="AE333" i="9"/>
  <c r="AD333" i="9"/>
  <c r="AC333" i="9"/>
  <c r="AB333" i="9"/>
  <c r="AA333" i="9"/>
  <c r="Z333" i="9"/>
  <c r="Y333" i="9"/>
  <c r="X333" i="9"/>
  <c r="W333" i="9"/>
  <c r="AH332" i="9"/>
  <c r="AG332" i="9"/>
  <c r="AF332" i="9"/>
  <c r="AE332" i="9"/>
  <c r="AD332" i="9"/>
  <c r="AC332" i="9"/>
  <c r="AB332" i="9"/>
  <c r="AA332" i="9"/>
  <c r="Z332" i="9"/>
  <c r="Y332" i="9"/>
  <c r="X332" i="9"/>
  <c r="W332" i="9"/>
  <c r="AH331" i="9"/>
  <c r="AG331" i="9"/>
  <c r="AF331" i="9"/>
  <c r="AE331" i="9"/>
  <c r="AD331" i="9"/>
  <c r="AC331" i="9"/>
  <c r="AB331" i="9"/>
  <c r="AA331" i="9"/>
  <c r="Z331" i="9"/>
  <c r="Y331" i="9"/>
  <c r="X331" i="9"/>
  <c r="W331" i="9"/>
  <c r="AH330" i="9"/>
  <c r="AG330" i="9"/>
  <c r="AF330" i="9"/>
  <c r="AE330" i="9"/>
  <c r="AD330" i="9"/>
  <c r="AC330" i="9"/>
  <c r="AB330" i="9"/>
  <c r="AA330" i="9"/>
  <c r="Z330" i="9"/>
  <c r="Y330" i="9"/>
  <c r="X330" i="9"/>
  <c r="W330" i="9"/>
  <c r="AH329" i="9"/>
  <c r="AG329" i="9"/>
  <c r="AF329" i="9"/>
  <c r="AE329" i="9"/>
  <c r="AD329" i="9"/>
  <c r="AC329" i="9"/>
  <c r="AB329" i="9"/>
  <c r="AA329" i="9"/>
  <c r="Z329" i="9"/>
  <c r="Y329" i="9"/>
  <c r="X329" i="9"/>
  <c r="W329" i="9"/>
  <c r="AH328" i="9"/>
  <c r="AG328" i="9"/>
  <c r="AF328" i="9"/>
  <c r="AE328" i="9"/>
  <c r="AD328" i="9"/>
  <c r="AC328" i="9"/>
  <c r="AB328" i="9"/>
  <c r="AA328" i="9"/>
  <c r="Z328" i="9"/>
  <c r="Y328" i="9"/>
  <c r="X328" i="9"/>
  <c r="W328" i="9"/>
  <c r="AH327" i="9"/>
  <c r="AG327" i="9"/>
  <c r="AF327" i="9"/>
  <c r="AE327" i="9"/>
  <c r="AD327" i="9"/>
  <c r="AC327" i="9"/>
  <c r="AB327" i="9"/>
  <c r="AA327" i="9"/>
  <c r="Z327" i="9"/>
  <c r="Y327" i="9"/>
  <c r="X327" i="9"/>
  <c r="W327" i="9"/>
  <c r="AH326" i="9"/>
  <c r="AG326" i="9"/>
  <c r="AF326" i="9"/>
  <c r="AE326" i="9"/>
  <c r="AD326" i="9"/>
  <c r="AC326" i="9"/>
  <c r="AB326" i="9"/>
  <c r="AA326" i="9"/>
  <c r="Z326" i="9"/>
  <c r="Y326" i="9"/>
  <c r="X326" i="9"/>
  <c r="W326" i="9"/>
  <c r="AH325" i="9"/>
  <c r="AG325" i="9"/>
  <c r="AF325" i="9"/>
  <c r="AE325" i="9"/>
  <c r="AD325" i="9"/>
  <c r="AC325" i="9"/>
  <c r="AB325" i="9"/>
  <c r="AA325" i="9"/>
  <c r="Z325" i="9"/>
  <c r="Y325" i="9"/>
  <c r="X325" i="9"/>
  <c r="W325" i="9"/>
  <c r="AH324" i="9"/>
  <c r="AG324" i="9"/>
  <c r="AF324" i="9"/>
  <c r="AE324" i="9"/>
  <c r="AD324" i="9"/>
  <c r="AC324" i="9"/>
  <c r="AB324" i="9"/>
  <c r="AA324" i="9"/>
  <c r="Z324" i="9"/>
  <c r="Y324" i="9"/>
  <c r="X324" i="9"/>
  <c r="W324" i="9"/>
  <c r="AH323" i="9"/>
  <c r="AG323" i="9"/>
  <c r="AF323" i="9"/>
  <c r="AE323" i="9"/>
  <c r="AD323" i="9"/>
  <c r="AC323" i="9"/>
  <c r="AB323" i="9"/>
  <c r="AA323" i="9"/>
  <c r="Z323" i="9"/>
  <c r="Y323" i="9"/>
  <c r="X323" i="9"/>
  <c r="W323" i="9"/>
  <c r="AH322" i="9"/>
  <c r="AG322" i="9"/>
  <c r="AF322" i="9"/>
  <c r="AE322" i="9"/>
  <c r="AD322" i="9"/>
  <c r="AC322" i="9"/>
  <c r="AB322" i="9"/>
  <c r="AA322" i="9"/>
  <c r="Z322" i="9"/>
  <c r="Y322" i="9"/>
  <c r="X322" i="9"/>
  <c r="W322" i="9"/>
  <c r="AH321" i="9"/>
  <c r="AG321" i="9"/>
  <c r="AF321" i="9"/>
  <c r="AE321" i="9"/>
  <c r="AD321" i="9"/>
  <c r="AC321" i="9"/>
  <c r="AB321" i="9"/>
  <c r="AA321" i="9"/>
  <c r="Z321" i="9"/>
  <c r="Y321" i="9"/>
  <c r="X321" i="9"/>
  <c r="W321" i="9"/>
  <c r="AH320" i="9"/>
  <c r="AG320" i="9"/>
  <c r="AF320" i="9"/>
  <c r="AE320" i="9"/>
  <c r="AD320" i="9"/>
  <c r="AC320" i="9"/>
  <c r="AB320" i="9"/>
  <c r="AA320" i="9"/>
  <c r="Z320" i="9"/>
  <c r="Y320" i="9"/>
  <c r="X320" i="9"/>
  <c r="W320" i="9"/>
  <c r="AH319" i="9"/>
  <c r="AG319" i="9"/>
  <c r="AF319" i="9"/>
  <c r="AE319" i="9"/>
  <c r="AD319" i="9"/>
  <c r="AC319" i="9"/>
  <c r="AB319" i="9"/>
  <c r="AA319" i="9"/>
  <c r="Z319" i="9"/>
  <c r="Y319" i="9"/>
  <c r="X319" i="9"/>
  <c r="W319" i="9"/>
  <c r="AH318" i="9"/>
  <c r="AG318" i="9"/>
  <c r="AF318" i="9"/>
  <c r="AE318" i="9"/>
  <c r="AD318" i="9"/>
  <c r="AC318" i="9"/>
  <c r="AB318" i="9"/>
  <c r="AA318" i="9"/>
  <c r="Z318" i="9"/>
  <c r="Y318" i="9"/>
  <c r="X318" i="9"/>
  <c r="W318" i="9"/>
  <c r="AH317" i="9"/>
  <c r="AG317" i="9"/>
  <c r="AF317" i="9"/>
  <c r="AE317" i="9"/>
  <c r="AD317" i="9"/>
  <c r="AC317" i="9"/>
  <c r="AB317" i="9"/>
  <c r="AA317" i="9"/>
  <c r="Z317" i="9"/>
  <c r="Y317" i="9"/>
  <c r="X317" i="9"/>
  <c r="W317" i="9"/>
  <c r="AH316" i="9"/>
  <c r="AG316" i="9"/>
  <c r="AF316" i="9"/>
  <c r="AE316" i="9"/>
  <c r="AD316" i="9"/>
  <c r="AC316" i="9"/>
  <c r="AB316" i="9"/>
  <c r="AA316" i="9"/>
  <c r="Z316" i="9"/>
  <c r="Y316" i="9"/>
  <c r="X316" i="9"/>
  <c r="W316" i="9"/>
  <c r="AH315" i="9"/>
  <c r="AG315" i="9"/>
  <c r="AF315" i="9"/>
  <c r="AE315" i="9"/>
  <c r="AD315" i="9"/>
  <c r="AC315" i="9"/>
  <c r="AB315" i="9"/>
  <c r="AA315" i="9"/>
  <c r="Z315" i="9"/>
  <c r="Y315" i="9"/>
  <c r="X315" i="9"/>
  <c r="W315" i="9"/>
  <c r="AH314" i="9"/>
  <c r="AG314" i="9"/>
  <c r="AF314" i="9"/>
  <c r="AE314" i="9"/>
  <c r="AD314" i="9"/>
  <c r="AC314" i="9"/>
  <c r="AB314" i="9"/>
  <c r="AA314" i="9"/>
  <c r="Z314" i="9"/>
  <c r="Y314" i="9"/>
  <c r="X314" i="9"/>
  <c r="W314" i="9"/>
  <c r="AH313" i="9"/>
  <c r="AG313" i="9"/>
  <c r="AF313" i="9"/>
  <c r="AE313" i="9"/>
  <c r="AD313" i="9"/>
  <c r="AC313" i="9"/>
  <c r="AB313" i="9"/>
  <c r="AA313" i="9"/>
  <c r="Z313" i="9"/>
  <c r="Y313" i="9"/>
  <c r="X313" i="9"/>
  <c r="W313" i="9"/>
  <c r="AH312" i="9"/>
  <c r="AG312" i="9"/>
  <c r="AF312" i="9"/>
  <c r="AE312" i="9"/>
  <c r="AD312" i="9"/>
  <c r="AC312" i="9"/>
  <c r="AB312" i="9"/>
  <c r="AA312" i="9"/>
  <c r="Z312" i="9"/>
  <c r="Y312" i="9"/>
  <c r="X312" i="9"/>
  <c r="W312" i="9"/>
  <c r="AH311" i="9"/>
  <c r="AG311" i="9"/>
  <c r="AF311" i="9"/>
  <c r="AE311" i="9"/>
  <c r="AD311" i="9"/>
  <c r="AC311" i="9"/>
  <c r="AB311" i="9"/>
  <c r="AA311" i="9"/>
  <c r="Z311" i="9"/>
  <c r="Y311" i="9"/>
  <c r="X311" i="9"/>
  <c r="W311" i="9"/>
  <c r="AH310" i="9"/>
  <c r="AG310" i="9"/>
  <c r="AF310" i="9"/>
  <c r="AE310" i="9"/>
  <c r="AD310" i="9"/>
  <c r="AC310" i="9"/>
  <c r="AB310" i="9"/>
  <c r="AA310" i="9"/>
  <c r="Z310" i="9"/>
  <c r="Y310" i="9"/>
  <c r="X310" i="9"/>
  <c r="W310" i="9"/>
  <c r="AH309" i="9"/>
  <c r="AG309" i="9"/>
  <c r="AF309" i="9"/>
  <c r="AE309" i="9"/>
  <c r="AD309" i="9"/>
  <c r="AC309" i="9"/>
  <c r="AB309" i="9"/>
  <c r="AA309" i="9"/>
  <c r="Z309" i="9"/>
  <c r="Y309" i="9"/>
  <c r="X309" i="9"/>
  <c r="W309" i="9"/>
  <c r="AH308" i="9"/>
  <c r="AG308" i="9"/>
  <c r="AF308" i="9"/>
  <c r="AE308" i="9"/>
  <c r="AD308" i="9"/>
  <c r="AC308" i="9"/>
  <c r="AB308" i="9"/>
  <c r="AA308" i="9"/>
  <c r="Z308" i="9"/>
  <c r="Y308" i="9"/>
  <c r="X308" i="9"/>
  <c r="W308" i="9"/>
  <c r="AH307" i="9"/>
  <c r="AG307" i="9"/>
  <c r="AF307" i="9"/>
  <c r="AE307" i="9"/>
  <c r="AD307" i="9"/>
  <c r="AC307" i="9"/>
  <c r="AB307" i="9"/>
  <c r="AA307" i="9"/>
  <c r="Z307" i="9"/>
  <c r="Y307" i="9"/>
  <c r="X307" i="9"/>
  <c r="W307" i="9"/>
  <c r="AH306" i="9"/>
  <c r="AG306" i="9"/>
  <c r="AF306" i="9"/>
  <c r="AE306" i="9"/>
  <c r="AD306" i="9"/>
  <c r="AC306" i="9"/>
  <c r="AB306" i="9"/>
  <c r="AA306" i="9"/>
  <c r="Z306" i="9"/>
  <c r="Y306" i="9"/>
  <c r="X306" i="9"/>
  <c r="W306" i="9"/>
  <c r="AH305" i="9"/>
  <c r="AG305" i="9"/>
  <c r="AF305" i="9"/>
  <c r="AE305" i="9"/>
  <c r="AD305" i="9"/>
  <c r="AC305" i="9"/>
  <c r="AB305" i="9"/>
  <c r="AA305" i="9"/>
  <c r="Z305" i="9"/>
  <c r="Y305" i="9"/>
  <c r="X305" i="9"/>
  <c r="W305" i="9"/>
  <c r="AH304" i="9"/>
  <c r="AG304" i="9"/>
  <c r="AF304" i="9"/>
  <c r="AE304" i="9"/>
  <c r="AD304" i="9"/>
  <c r="AC304" i="9"/>
  <c r="AB304" i="9"/>
  <c r="AA304" i="9"/>
  <c r="Z304" i="9"/>
  <c r="Y304" i="9"/>
  <c r="X304" i="9"/>
  <c r="W304" i="9"/>
  <c r="AH303" i="9"/>
  <c r="AG303" i="9"/>
  <c r="AF303" i="9"/>
  <c r="AE303" i="9"/>
  <c r="AD303" i="9"/>
  <c r="AC303" i="9"/>
  <c r="AB303" i="9"/>
  <c r="AA303" i="9"/>
  <c r="Z303" i="9"/>
  <c r="Y303" i="9"/>
  <c r="X303" i="9"/>
  <c r="W303" i="9"/>
  <c r="AH302" i="9"/>
  <c r="AG302" i="9"/>
  <c r="AF302" i="9"/>
  <c r="AE302" i="9"/>
  <c r="AD302" i="9"/>
  <c r="AC302" i="9"/>
  <c r="AB302" i="9"/>
  <c r="AA302" i="9"/>
  <c r="Z302" i="9"/>
  <c r="Y302" i="9"/>
  <c r="X302" i="9"/>
  <c r="W302" i="9"/>
  <c r="AH301" i="9"/>
  <c r="AG301" i="9"/>
  <c r="AF301" i="9"/>
  <c r="AE301" i="9"/>
  <c r="AD301" i="9"/>
  <c r="AC301" i="9"/>
  <c r="AB301" i="9"/>
  <c r="AA301" i="9"/>
  <c r="Z301" i="9"/>
  <c r="Y301" i="9"/>
  <c r="X301" i="9"/>
  <c r="W301" i="9"/>
  <c r="AH300" i="9"/>
  <c r="AG300" i="9"/>
  <c r="AF300" i="9"/>
  <c r="AE300" i="9"/>
  <c r="AD300" i="9"/>
  <c r="AC300" i="9"/>
  <c r="AB300" i="9"/>
  <c r="AA300" i="9"/>
  <c r="Z300" i="9"/>
  <c r="Y300" i="9"/>
  <c r="X300" i="9"/>
  <c r="W300" i="9"/>
  <c r="AH299" i="9"/>
  <c r="AG299" i="9"/>
  <c r="AF299" i="9"/>
  <c r="AE299" i="9"/>
  <c r="AD299" i="9"/>
  <c r="AC299" i="9"/>
  <c r="AB299" i="9"/>
  <c r="AA299" i="9"/>
  <c r="Z299" i="9"/>
  <c r="Y299" i="9"/>
  <c r="X299" i="9"/>
  <c r="W299" i="9"/>
  <c r="AH298" i="9"/>
  <c r="AG298" i="9"/>
  <c r="AF298" i="9"/>
  <c r="AE298" i="9"/>
  <c r="AD298" i="9"/>
  <c r="AC298" i="9"/>
  <c r="AB298" i="9"/>
  <c r="AA298" i="9"/>
  <c r="Z298" i="9"/>
  <c r="Y298" i="9"/>
  <c r="X298" i="9"/>
  <c r="W298" i="9"/>
  <c r="AH297" i="9"/>
  <c r="AG297" i="9"/>
  <c r="AF297" i="9"/>
  <c r="AE297" i="9"/>
  <c r="AD297" i="9"/>
  <c r="AC297" i="9"/>
  <c r="AB297" i="9"/>
  <c r="AA297" i="9"/>
  <c r="Z297" i="9"/>
  <c r="Y297" i="9"/>
  <c r="X297" i="9"/>
  <c r="W297" i="9"/>
  <c r="AH296" i="9"/>
  <c r="AG296" i="9"/>
  <c r="AF296" i="9"/>
  <c r="AE296" i="9"/>
  <c r="AD296" i="9"/>
  <c r="AC296" i="9"/>
  <c r="AB296" i="9"/>
  <c r="AA296" i="9"/>
  <c r="Z296" i="9"/>
  <c r="Y296" i="9"/>
  <c r="X296" i="9"/>
  <c r="W296" i="9"/>
  <c r="AH295" i="9"/>
  <c r="AG295" i="9"/>
  <c r="AF295" i="9"/>
  <c r="AE295" i="9"/>
  <c r="AD295" i="9"/>
  <c r="AC295" i="9"/>
  <c r="AB295" i="9"/>
  <c r="AA295" i="9"/>
  <c r="Z295" i="9"/>
  <c r="Y295" i="9"/>
  <c r="X295" i="9"/>
  <c r="W295" i="9"/>
  <c r="AH294" i="9"/>
  <c r="AG294" i="9"/>
  <c r="AF294" i="9"/>
  <c r="AE294" i="9"/>
  <c r="AD294" i="9"/>
  <c r="AC294" i="9"/>
  <c r="AB294" i="9"/>
  <c r="AA294" i="9"/>
  <c r="Z294" i="9"/>
  <c r="Y294" i="9"/>
  <c r="X294" i="9"/>
  <c r="W294" i="9"/>
  <c r="AH293" i="9"/>
  <c r="AG293" i="9"/>
  <c r="AF293" i="9"/>
  <c r="AE293" i="9"/>
  <c r="AD293" i="9"/>
  <c r="AC293" i="9"/>
  <c r="AB293" i="9"/>
  <c r="AA293" i="9"/>
  <c r="Z293" i="9"/>
  <c r="Y293" i="9"/>
  <c r="X293" i="9"/>
  <c r="W293" i="9"/>
  <c r="AH292" i="9"/>
  <c r="AG292" i="9"/>
  <c r="AF292" i="9"/>
  <c r="AE292" i="9"/>
  <c r="AD292" i="9"/>
  <c r="AC292" i="9"/>
  <c r="AB292" i="9"/>
  <c r="AA292" i="9"/>
  <c r="Z292" i="9"/>
  <c r="Y292" i="9"/>
  <c r="X292" i="9"/>
  <c r="W292" i="9"/>
  <c r="AH291" i="9"/>
  <c r="AG291" i="9"/>
  <c r="AF291" i="9"/>
  <c r="AE291" i="9"/>
  <c r="AD291" i="9"/>
  <c r="AC291" i="9"/>
  <c r="AB291" i="9"/>
  <c r="AA291" i="9"/>
  <c r="Z291" i="9"/>
  <c r="Y291" i="9"/>
  <c r="X291" i="9"/>
  <c r="W291" i="9"/>
  <c r="AH290" i="9"/>
  <c r="AG290" i="9"/>
  <c r="AF290" i="9"/>
  <c r="AE290" i="9"/>
  <c r="AD290" i="9"/>
  <c r="AC290" i="9"/>
  <c r="AB290" i="9"/>
  <c r="AA290" i="9"/>
  <c r="Z290" i="9"/>
  <c r="Y290" i="9"/>
  <c r="X290" i="9"/>
  <c r="W290" i="9"/>
  <c r="AH289" i="9"/>
  <c r="AG289" i="9"/>
  <c r="AF289" i="9"/>
  <c r="AE289" i="9"/>
  <c r="AD289" i="9"/>
  <c r="AC289" i="9"/>
  <c r="AB289" i="9"/>
  <c r="AA289" i="9"/>
  <c r="Z289" i="9"/>
  <c r="Y289" i="9"/>
  <c r="X289" i="9"/>
  <c r="W289" i="9"/>
  <c r="AH288" i="9"/>
  <c r="AG288" i="9"/>
  <c r="AF288" i="9"/>
  <c r="AE288" i="9"/>
  <c r="AD288" i="9"/>
  <c r="AC288" i="9"/>
  <c r="AB288" i="9"/>
  <c r="AA288" i="9"/>
  <c r="Z288" i="9"/>
  <c r="Y288" i="9"/>
  <c r="X288" i="9"/>
  <c r="W288" i="9"/>
  <c r="AH287" i="9"/>
  <c r="AG287" i="9"/>
  <c r="AF287" i="9"/>
  <c r="AE287" i="9"/>
  <c r="AD287" i="9"/>
  <c r="AC287" i="9"/>
  <c r="AB287" i="9"/>
  <c r="AA287" i="9"/>
  <c r="Z287" i="9"/>
  <c r="Y287" i="9"/>
  <c r="X287" i="9"/>
  <c r="W287" i="9"/>
  <c r="AH286" i="9"/>
  <c r="AG286" i="9"/>
  <c r="AF286" i="9"/>
  <c r="AE286" i="9"/>
  <c r="AD286" i="9"/>
  <c r="AC286" i="9"/>
  <c r="AB286" i="9"/>
  <c r="AA286" i="9"/>
  <c r="Z286" i="9"/>
  <c r="Y286" i="9"/>
  <c r="X286" i="9"/>
  <c r="W286" i="9"/>
  <c r="AH285" i="9"/>
  <c r="AG285" i="9"/>
  <c r="AF285" i="9"/>
  <c r="AE285" i="9"/>
  <c r="AD285" i="9"/>
  <c r="AC285" i="9"/>
  <c r="AB285" i="9"/>
  <c r="AA285" i="9"/>
  <c r="Z285" i="9"/>
  <c r="Y285" i="9"/>
  <c r="X285" i="9"/>
  <c r="W285" i="9"/>
  <c r="AH284" i="9"/>
  <c r="AG284" i="9"/>
  <c r="AF284" i="9"/>
  <c r="AE284" i="9"/>
  <c r="AD284" i="9"/>
  <c r="AC284" i="9"/>
  <c r="AB284" i="9"/>
  <c r="AA284" i="9"/>
  <c r="Z284" i="9"/>
  <c r="Y284" i="9"/>
  <c r="X284" i="9"/>
  <c r="W284" i="9"/>
  <c r="AH283" i="9"/>
  <c r="AG283" i="9"/>
  <c r="AF283" i="9"/>
  <c r="AE283" i="9"/>
  <c r="AD283" i="9"/>
  <c r="AC283" i="9"/>
  <c r="AB283" i="9"/>
  <c r="AA283" i="9"/>
  <c r="Z283" i="9"/>
  <c r="Y283" i="9"/>
  <c r="X283" i="9"/>
  <c r="W283" i="9"/>
  <c r="AH282" i="9"/>
  <c r="AG282" i="9"/>
  <c r="AF282" i="9"/>
  <c r="AE282" i="9"/>
  <c r="AD282" i="9"/>
  <c r="AC282" i="9"/>
  <c r="AB282" i="9"/>
  <c r="AA282" i="9"/>
  <c r="Z282" i="9"/>
  <c r="Y282" i="9"/>
  <c r="X282" i="9"/>
  <c r="W282" i="9"/>
  <c r="AH281" i="9"/>
  <c r="AG281" i="9"/>
  <c r="AF281" i="9"/>
  <c r="AE281" i="9"/>
  <c r="AD281" i="9"/>
  <c r="AC281" i="9"/>
  <c r="AB281" i="9"/>
  <c r="AA281" i="9"/>
  <c r="Z281" i="9"/>
  <c r="Y281" i="9"/>
  <c r="X281" i="9"/>
  <c r="W281" i="9"/>
  <c r="AH280" i="9"/>
  <c r="AG280" i="9"/>
  <c r="AF280" i="9"/>
  <c r="AE280" i="9"/>
  <c r="AD280" i="9"/>
  <c r="AC280" i="9"/>
  <c r="AB280" i="9"/>
  <c r="AA280" i="9"/>
  <c r="Z280" i="9"/>
  <c r="Y280" i="9"/>
  <c r="X280" i="9"/>
  <c r="W280" i="9"/>
  <c r="AH279" i="9"/>
  <c r="AG279" i="9"/>
  <c r="AF279" i="9"/>
  <c r="AE279" i="9"/>
  <c r="AD279" i="9"/>
  <c r="AC279" i="9"/>
  <c r="AB279" i="9"/>
  <c r="AA279" i="9"/>
  <c r="Z279" i="9"/>
  <c r="Y279" i="9"/>
  <c r="X279" i="9"/>
  <c r="W279" i="9"/>
  <c r="AH278" i="9"/>
  <c r="AG278" i="9"/>
  <c r="AF278" i="9"/>
  <c r="AE278" i="9"/>
  <c r="AD278" i="9"/>
  <c r="AC278" i="9"/>
  <c r="AB278" i="9"/>
  <c r="AA278" i="9"/>
  <c r="Z278" i="9"/>
  <c r="Y278" i="9"/>
  <c r="X278" i="9"/>
  <c r="W278" i="9"/>
  <c r="AH277" i="9"/>
  <c r="AG277" i="9"/>
  <c r="AF277" i="9"/>
  <c r="AE277" i="9"/>
  <c r="AD277" i="9"/>
  <c r="AC277" i="9"/>
  <c r="AB277" i="9"/>
  <c r="AA277" i="9"/>
  <c r="Z277" i="9"/>
  <c r="Y277" i="9"/>
  <c r="X277" i="9"/>
  <c r="W277" i="9"/>
  <c r="AH276" i="9"/>
  <c r="AG276" i="9"/>
  <c r="AF276" i="9"/>
  <c r="AE276" i="9"/>
  <c r="AD276" i="9"/>
  <c r="AC276" i="9"/>
  <c r="AB276" i="9"/>
  <c r="AA276" i="9"/>
  <c r="Z276" i="9"/>
  <c r="Y276" i="9"/>
  <c r="X276" i="9"/>
  <c r="W276" i="9"/>
  <c r="AH275" i="9"/>
  <c r="AG275" i="9"/>
  <c r="AF275" i="9"/>
  <c r="AE275" i="9"/>
  <c r="AD275" i="9"/>
  <c r="AC275" i="9"/>
  <c r="AB275" i="9"/>
  <c r="AA275" i="9"/>
  <c r="Z275" i="9"/>
  <c r="Y275" i="9"/>
  <c r="X275" i="9"/>
  <c r="W275" i="9"/>
  <c r="AH274" i="9"/>
  <c r="AG274" i="9"/>
  <c r="AF274" i="9"/>
  <c r="AE274" i="9"/>
  <c r="AD274" i="9"/>
  <c r="AC274" i="9"/>
  <c r="AB274" i="9"/>
  <c r="AA274" i="9"/>
  <c r="Z274" i="9"/>
  <c r="Y274" i="9"/>
  <c r="X274" i="9"/>
  <c r="W274" i="9"/>
  <c r="AH273" i="9"/>
  <c r="AG273" i="9"/>
  <c r="AF273" i="9"/>
  <c r="AE273" i="9"/>
  <c r="AD273" i="9"/>
  <c r="AC273" i="9"/>
  <c r="AB273" i="9"/>
  <c r="AA273" i="9"/>
  <c r="Z273" i="9"/>
  <c r="Y273" i="9"/>
  <c r="X273" i="9"/>
  <c r="W273" i="9"/>
  <c r="AH272" i="9"/>
  <c r="AG272" i="9"/>
  <c r="AF272" i="9"/>
  <c r="AE272" i="9"/>
  <c r="AD272" i="9"/>
  <c r="AC272" i="9"/>
  <c r="AB272" i="9"/>
  <c r="AA272" i="9"/>
  <c r="Z272" i="9"/>
  <c r="Y272" i="9"/>
  <c r="X272" i="9"/>
  <c r="W272" i="9"/>
  <c r="AH271" i="9"/>
  <c r="AG271" i="9"/>
  <c r="AF271" i="9"/>
  <c r="AE271" i="9"/>
  <c r="AD271" i="9"/>
  <c r="AC271" i="9"/>
  <c r="AB271" i="9"/>
  <c r="AA271" i="9"/>
  <c r="Z271" i="9"/>
  <c r="Y271" i="9"/>
  <c r="X271" i="9"/>
  <c r="W271" i="9"/>
  <c r="AH270" i="9"/>
  <c r="AG270" i="9"/>
  <c r="AF270" i="9"/>
  <c r="AE270" i="9"/>
  <c r="AD270" i="9"/>
  <c r="AC270" i="9"/>
  <c r="AB270" i="9"/>
  <c r="AA270" i="9"/>
  <c r="Z270" i="9"/>
  <c r="Y270" i="9"/>
  <c r="X270" i="9"/>
  <c r="W270" i="9"/>
  <c r="AH269" i="9"/>
  <c r="AG269" i="9"/>
  <c r="AF269" i="9"/>
  <c r="AE269" i="9"/>
  <c r="AD269" i="9"/>
  <c r="AC269" i="9"/>
  <c r="AB269" i="9"/>
  <c r="AA269" i="9"/>
  <c r="Z269" i="9"/>
  <c r="Y269" i="9"/>
  <c r="X269" i="9"/>
  <c r="W269" i="9"/>
  <c r="AH268" i="9"/>
  <c r="AG268" i="9"/>
  <c r="AF268" i="9"/>
  <c r="AE268" i="9"/>
  <c r="AD268" i="9"/>
  <c r="AC268" i="9"/>
  <c r="AB268" i="9"/>
  <c r="AA268" i="9"/>
  <c r="Z268" i="9"/>
  <c r="Y268" i="9"/>
  <c r="X268" i="9"/>
  <c r="W268" i="9"/>
  <c r="AH267" i="9"/>
  <c r="AG267" i="9"/>
  <c r="AF267" i="9"/>
  <c r="AE267" i="9"/>
  <c r="AD267" i="9"/>
  <c r="AC267" i="9"/>
  <c r="AB267" i="9"/>
  <c r="AA267" i="9"/>
  <c r="Z267" i="9"/>
  <c r="Y267" i="9"/>
  <c r="X267" i="9"/>
  <c r="W267" i="9"/>
  <c r="AH266" i="9"/>
  <c r="AG266" i="9"/>
  <c r="AF266" i="9"/>
  <c r="AE266" i="9"/>
  <c r="AD266" i="9"/>
  <c r="AC266" i="9"/>
  <c r="AB266" i="9"/>
  <c r="AA266" i="9"/>
  <c r="Z266" i="9"/>
  <c r="Y266" i="9"/>
  <c r="X266" i="9"/>
  <c r="W266" i="9"/>
  <c r="AH265" i="9"/>
  <c r="AG265" i="9"/>
  <c r="AF265" i="9"/>
  <c r="AE265" i="9"/>
  <c r="AD265" i="9"/>
  <c r="AC265" i="9"/>
  <c r="AB265" i="9"/>
  <c r="AA265" i="9"/>
  <c r="Z265" i="9"/>
  <c r="Y265" i="9"/>
  <c r="X265" i="9"/>
  <c r="W265" i="9"/>
  <c r="AH264" i="9"/>
  <c r="AG264" i="9"/>
  <c r="AF264" i="9"/>
  <c r="AE264" i="9"/>
  <c r="AD264" i="9"/>
  <c r="AC264" i="9"/>
  <c r="AB264" i="9"/>
  <c r="AA264" i="9"/>
  <c r="Z264" i="9"/>
  <c r="Y264" i="9"/>
  <c r="X264" i="9"/>
  <c r="W264" i="9"/>
  <c r="AH263" i="9"/>
  <c r="AG263" i="9"/>
  <c r="AF263" i="9"/>
  <c r="AE263" i="9"/>
  <c r="AD263" i="9"/>
  <c r="AC263" i="9"/>
  <c r="AB263" i="9"/>
  <c r="AA263" i="9"/>
  <c r="Z263" i="9"/>
  <c r="Y263" i="9"/>
  <c r="X263" i="9"/>
  <c r="W263" i="9"/>
  <c r="AH262" i="9"/>
  <c r="AG262" i="9"/>
  <c r="AF262" i="9"/>
  <c r="AE262" i="9"/>
  <c r="AD262" i="9"/>
  <c r="AC262" i="9"/>
  <c r="AB262" i="9"/>
  <c r="AA262" i="9"/>
  <c r="Z262" i="9"/>
  <c r="Y262" i="9"/>
  <c r="X262" i="9"/>
  <c r="W262" i="9"/>
  <c r="AH261" i="9"/>
  <c r="AG261" i="9"/>
  <c r="AF261" i="9"/>
  <c r="AE261" i="9"/>
  <c r="AD261" i="9"/>
  <c r="AC261" i="9"/>
  <c r="AB261" i="9"/>
  <c r="AA261" i="9"/>
  <c r="Z261" i="9"/>
  <c r="Y261" i="9"/>
  <c r="X261" i="9"/>
  <c r="W261" i="9"/>
  <c r="AH260" i="9"/>
  <c r="AG260" i="9"/>
  <c r="AF260" i="9"/>
  <c r="AE260" i="9"/>
  <c r="AD260" i="9"/>
  <c r="AC260" i="9"/>
  <c r="AB260" i="9"/>
  <c r="AA260" i="9"/>
  <c r="Z260" i="9"/>
  <c r="Y260" i="9"/>
  <c r="X260" i="9"/>
  <c r="W260" i="9"/>
  <c r="AH255" i="9"/>
  <c r="AG255" i="9"/>
  <c r="AF255" i="9"/>
  <c r="AE255" i="9"/>
  <c r="AD255" i="9"/>
  <c r="AC255" i="9"/>
  <c r="AB255" i="9"/>
  <c r="AA255" i="9"/>
  <c r="Z255" i="9"/>
  <c r="Y255" i="9"/>
  <c r="X255" i="9"/>
  <c r="W255" i="9"/>
  <c r="AH254" i="9"/>
  <c r="AG254" i="9"/>
  <c r="AF254" i="9"/>
  <c r="AE254" i="9"/>
  <c r="AD254" i="9"/>
  <c r="AC254" i="9"/>
  <c r="AB254" i="9"/>
  <c r="AA254" i="9"/>
  <c r="Z254" i="9"/>
  <c r="Y254" i="9"/>
  <c r="X254" i="9"/>
  <c r="W254" i="9"/>
  <c r="AH250" i="9"/>
  <c r="AG250" i="9"/>
  <c r="AF250" i="9"/>
  <c r="AE250" i="9"/>
  <c r="AD250" i="9"/>
  <c r="AC250" i="9"/>
  <c r="AB250" i="9"/>
  <c r="AA250" i="9"/>
  <c r="Z250" i="9"/>
  <c r="Y250" i="9"/>
  <c r="X250" i="9"/>
  <c r="W250" i="9"/>
  <c r="AH249" i="9"/>
  <c r="AG249" i="9"/>
  <c r="AF249" i="9"/>
  <c r="AE249" i="9"/>
  <c r="AD249" i="9"/>
  <c r="AC249" i="9"/>
  <c r="AB249" i="9"/>
  <c r="AA249" i="9"/>
  <c r="Z249" i="9"/>
  <c r="Y249" i="9"/>
  <c r="X249" i="9"/>
  <c r="W249" i="9"/>
  <c r="AH248" i="9"/>
  <c r="AG248" i="9"/>
  <c r="AF248" i="9"/>
  <c r="AE248" i="9"/>
  <c r="AD248" i="9"/>
  <c r="AC248" i="9"/>
  <c r="AB248" i="9"/>
  <c r="AA248" i="9"/>
  <c r="Z248" i="9"/>
  <c r="Y248" i="9"/>
  <c r="X248" i="9"/>
  <c r="W248" i="9"/>
  <c r="AH247" i="9"/>
  <c r="AG247" i="9"/>
  <c r="AF247" i="9"/>
  <c r="AE247" i="9"/>
  <c r="AD247" i="9"/>
  <c r="AC247" i="9"/>
  <c r="AB247" i="9"/>
  <c r="AA247" i="9"/>
  <c r="Z247" i="9"/>
  <c r="Y247" i="9"/>
  <c r="X247" i="9"/>
  <c r="W247" i="9"/>
  <c r="AH246" i="9"/>
  <c r="AG246" i="9"/>
  <c r="AF246" i="9"/>
  <c r="AE246" i="9"/>
  <c r="AD246" i="9"/>
  <c r="AC246" i="9"/>
  <c r="AB246" i="9"/>
  <c r="AA246" i="9"/>
  <c r="Z246" i="9"/>
  <c r="Y246" i="9"/>
  <c r="X246" i="9"/>
  <c r="W246" i="9"/>
  <c r="AH245" i="9"/>
  <c r="AG245" i="9"/>
  <c r="AF245" i="9"/>
  <c r="AE245" i="9"/>
  <c r="AD245" i="9"/>
  <c r="AC245" i="9"/>
  <c r="AB245" i="9"/>
  <c r="AA245" i="9"/>
  <c r="Z245" i="9"/>
  <c r="Y245" i="9"/>
  <c r="X245" i="9"/>
  <c r="W245" i="9"/>
  <c r="AH244" i="9"/>
  <c r="AG244" i="9"/>
  <c r="AF244" i="9"/>
  <c r="AE244" i="9"/>
  <c r="AD244" i="9"/>
  <c r="AC244" i="9"/>
  <c r="AB244" i="9"/>
  <c r="AA244" i="9"/>
  <c r="Z244" i="9"/>
  <c r="Y244" i="9"/>
  <c r="X244" i="9"/>
  <c r="W244" i="9"/>
  <c r="AH243" i="9"/>
  <c r="AG243" i="9"/>
  <c r="AF243" i="9"/>
  <c r="AE243" i="9"/>
  <c r="AD243" i="9"/>
  <c r="AC243" i="9"/>
  <c r="AB243" i="9"/>
  <c r="AA243" i="9"/>
  <c r="Z243" i="9"/>
  <c r="Y243" i="9"/>
  <c r="X243" i="9"/>
  <c r="W243" i="9"/>
  <c r="AH242" i="9"/>
  <c r="AG242" i="9"/>
  <c r="AF242" i="9"/>
  <c r="AE242" i="9"/>
  <c r="AD242" i="9"/>
  <c r="AC242" i="9"/>
  <c r="AB242" i="9"/>
  <c r="AA242" i="9"/>
  <c r="Z242" i="9"/>
  <c r="Y242" i="9"/>
  <c r="X242" i="9"/>
  <c r="W242" i="9"/>
  <c r="AH241" i="9"/>
  <c r="AG241" i="9"/>
  <c r="AF241" i="9"/>
  <c r="AE241" i="9"/>
  <c r="AD241" i="9"/>
  <c r="AC241" i="9"/>
  <c r="AB241" i="9"/>
  <c r="AA241" i="9"/>
  <c r="Z241" i="9"/>
  <c r="Y241" i="9"/>
  <c r="X241" i="9"/>
  <c r="W241" i="9"/>
  <c r="AH240" i="9"/>
  <c r="AG240" i="9"/>
  <c r="AF240" i="9"/>
  <c r="AE240" i="9"/>
  <c r="AD240" i="9"/>
  <c r="AC240" i="9"/>
  <c r="AB240" i="9"/>
  <c r="AA240" i="9"/>
  <c r="Z240" i="9"/>
  <c r="Y240" i="9"/>
  <c r="X240" i="9"/>
  <c r="W240" i="9"/>
  <c r="AH239" i="9"/>
  <c r="AG239" i="9"/>
  <c r="AF239" i="9"/>
  <c r="AE239" i="9"/>
  <c r="AD239" i="9"/>
  <c r="AC239" i="9"/>
  <c r="AB239" i="9"/>
  <c r="AA239" i="9"/>
  <c r="Z239" i="9"/>
  <c r="Y239" i="9"/>
  <c r="X239" i="9"/>
  <c r="W239" i="9"/>
  <c r="AH238" i="9"/>
  <c r="AG238" i="9"/>
  <c r="AF238" i="9"/>
  <c r="AE238" i="9"/>
  <c r="AD238" i="9"/>
  <c r="AC238" i="9"/>
  <c r="AB238" i="9"/>
  <c r="AA238" i="9"/>
  <c r="Z238" i="9"/>
  <c r="Y238" i="9"/>
  <c r="X238" i="9"/>
  <c r="W238" i="9"/>
  <c r="AH237" i="9"/>
  <c r="AG237" i="9"/>
  <c r="AF237" i="9"/>
  <c r="AE237" i="9"/>
  <c r="AD237" i="9"/>
  <c r="AC237" i="9"/>
  <c r="AB237" i="9"/>
  <c r="AA237" i="9"/>
  <c r="Z237" i="9"/>
  <c r="Y237" i="9"/>
  <c r="X237" i="9"/>
  <c r="W237" i="9"/>
  <c r="AH236" i="9"/>
  <c r="AG236" i="9"/>
  <c r="AF236" i="9"/>
  <c r="AE236" i="9"/>
  <c r="AD236" i="9"/>
  <c r="AC236" i="9"/>
  <c r="AB236" i="9"/>
  <c r="AA236" i="9"/>
  <c r="Z236" i="9"/>
  <c r="Y236" i="9"/>
  <c r="X236" i="9"/>
  <c r="W236" i="9"/>
  <c r="AH235" i="9"/>
  <c r="AG235" i="9"/>
  <c r="AF235" i="9"/>
  <c r="AE235" i="9"/>
  <c r="AD235" i="9"/>
  <c r="AC235" i="9"/>
  <c r="AB235" i="9"/>
  <c r="AA235" i="9"/>
  <c r="Z235" i="9"/>
  <c r="Y235" i="9"/>
  <c r="X235" i="9"/>
  <c r="W235" i="9"/>
  <c r="AH234" i="9"/>
  <c r="AG234" i="9"/>
  <c r="AF234" i="9"/>
  <c r="AE234" i="9"/>
  <c r="AD234" i="9"/>
  <c r="AC234" i="9"/>
  <c r="AB234" i="9"/>
  <c r="AA234" i="9"/>
  <c r="Z234" i="9"/>
  <c r="Y234" i="9"/>
  <c r="X234" i="9"/>
  <c r="W234" i="9"/>
  <c r="AH233" i="9"/>
  <c r="AG233" i="9"/>
  <c r="AF233" i="9"/>
  <c r="AE233" i="9"/>
  <c r="AD233" i="9"/>
  <c r="AC233" i="9"/>
  <c r="AB233" i="9"/>
  <c r="AA233" i="9"/>
  <c r="Z233" i="9"/>
  <c r="Y233" i="9"/>
  <c r="X233" i="9"/>
  <c r="W233" i="9"/>
  <c r="AH232" i="9"/>
  <c r="AG232" i="9"/>
  <c r="AF232" i="9"/>
  <c r="AE232" i="9"/>
  <c r="AD232" i="9"/>
  <c r="AC232" i="9"/>
  <c r="AB232" i="9"/>
  <c r="AA232" i="9"/>
  <c r="Z232" i="9"/>
  <c r="Y232" i="9"/>
  <c r="X232" i="9"/>
  <c r="W232" i="9"/>
  <c r="AH231" i="9"/>
  <c r="AG231" i="9"/>
  <c r="AF231" i="9"/>
  <c r="AE231" i="9"/>
  <c r="AD231" i="9"/>
  <c r="AC231" i="9"/>
  <c r="AB231" i="9"/>
  <c r="AA231" i="9"/>
  <c r="Z231" i="9"/>
  <c r="Y231" i="9"/>
  <c r="X231" i="9"/>
  <c r="W231" i="9"/>
  <c r="AH230" i="9"/>
  <c r="AG230" i="9"/>
  <c r="AF230" i="9"/>
  <c r="AE230" i="9"/>
  <c r="AD230" i="9"/>
  <c r="AC230" i="9"/>
  <c r="AB230" i="9"/>
  <c r="AA230" i="9"/>
  <c r="Z230" i="9"/>
  <c r="Y230" i="9"/>
  <c r="X230" i="9"/>
  <c r="W230" i="9"/>
  <c r="AH229" i="9"/>
  <c r="AG229" i="9"/>
  <c r="AF229" i="9"/>
  <c r="AE229" i="9"/>
  <c r="AD229" i="9"/>
  <c r="AC229" i="9"/>
  <c r="AB229" i="9"/>
  <c r="AA229" i="9"/>
  <c r="Z229" i="9"/>
  <c r="Y229" i="9"/>
  <c r="X229" i="9"/>
  <c r="W229" i="9"/>
  <c r="AH228" i="9"/>
  <c r="AG228" i="9"/>
  <c r="AF228" i="9"/>
  <c r="AE228" i="9"/>
  <c r="AD228" i="9"/>
  <c r="AC228" i="9"/>
  <c r="AB228" i="9"/>
  <c r="AA228" i="9"/>
  <c r="Z228" i="9"/>
  <c r="Y228" i="9"/>
  <c r="X228" i="9"/>
  <c r="W228" i="9"/>
  <c r="AH227" i="9"/>
  <c r="AG227" i="9"/>
  <c r="AF227" i="9"/>
  <c r="AE227" i="9"/>
  <c r="AD227" i="9"/>
  <c r="AC227" i="9"/>
  <c r="AB227" i="9"/>
  <c r="AA227" i="9"/>
  <c r="Z227" i="9"/>
  <c r="Y227" i="9"/>
  <c r="X227" i="9"/>
  <c r="W227" i="9"/>
  <c r="AH226" i="9"/>
  <c r="AG226" i="9"/>
  <c r="AF226" i="9"/>
  <c r="AE226" i="9"/>
  <c r="AD226" i="9"/>
  <c r="AC226" i="9"/>
  <c r="AB226" i="9"/>
  <c r="AA226" i="9"/>
  <c r="Z226" i="9"/>
  <c r="Y226" i="9"/>
  <c r="X226" i="9"/>
  <c r="W226" i="9"/>
  <c r="AH225" i="9"/>
  <c r="AG225" i="9"/>
  <c r="AF225" i="9"/>
  <c r="AE225" i="9"/>
  <c r="AD225" i="9"/>
  <c r="AC225" i="9"/>
  <c r="AB225" i="9"/>
  <c r="AA225" i="9"/>
  <c r="Z225" i="9"/>
  <c r="Y225" i="9"/>
  <c r="X225" i="9"/>
  <c r="W225" i="9"/>
  <c r="AH224" i="9"/>
  <c r="AG224" i="9"/>
  <c r="AF224" i="9"/>
  <c r="AE224" i="9"/>
  <c r="AD224" i="9"/>
  <c r="AC224" i="9"/>
  <c r="AB224" i="9"/>
  <c r="AA224" i="9"/>
  <c r="Z224" i="9"/>
  <c r="Y224" i="9"/>
  <c r="X224" i="9"/>
  <c r="W224" i="9"/>
  <c r="AH223" i="9"/>
  <c r="AG223" i="9"/>
  <c r="AF223" i="9"/>
  <c r="AE223" i="9"/>
  <c r="AD223" i="9"/>
  <c r="AC223" i="9"/>
  <c r="AB223" i="9"/>
  <c r="AA223" i="9"/>
  <c r="Z223" i="9"/>
  <c r="Y223" i="9"/>
  <c r="X223" i="9"/>
  <c r="W223" i="9"/>
  <c r="AH222" i="9"/>
  <c r="AG222" i="9"/>
  <c r="AF222" i="9"/>
  <c r="AE222" i="9"/>
  <c r="AD222" i="9"/>
  <c r="AC222" i="9"/>
  <c r="AB222" i="9"/>
  <c r="AA222" i="9"/>
  <c r="Z222" i="9"/>
  <c r="Y222" i="9"/>
  <c r="X222" i="9"/>
  <c r="W222" i="9"/>
  <c r="AH221" i="9"/>
  <c r="AG221" i="9"/>
  <c r="AF221" i="9"/>
  <c r="AE221" i="9"/>
  <c r="AD221" i="9"/>
  <c r="AC221" i="9"/>
  <c r="AB221" i="9"/>
  <c r="AA221" i="9"/>
  <c r="Z221" i="9"/>
  <c r="Y221" i="9"/>
  <c r="X221" i="9"/>
  <c r="W221" i="9"/>
  <c r="AH220" i="9"/>
  <c r="AG220" i="9"/>
  <c r="AF220" i="9"/>
  <c r="AE220" i="9"/>
  <c r="AD220" i="9"/>
  <c r="AC220" i="9"/>
  <c r="AB220" i="9"/>
  <c r="AA220" i="9"/>
  <c r="Z220" i="9"/>
  <c r="Y220" i="9"/>
  <c r="X220" i="9"/>
  <c r="W220" i="9"/>
  <c r="AH219" i="9"/>
  <c r="AG219" i="9"/>
  <c r="AF219" i="9"/>
  <c r="AE219" i="9"/>
  <c r="AD219" i="9"/>
  <c r="AC219" i="9"/>
  <c r="AB219" i="9"/>
  <c r="AA219" i="9"/>
  <c r="Z219" i="9"/>
  <c r="Y219" i="9"/>
  <c r="X219" i="9"/>
  <c r="W219" i="9"/>
  <c r="AH218" i="9"/>
  <c r="AG218" i="9"/>
  <c r="AF218" i="9"/>
  <c r="AE218" i="9"/>
  <c r="AD218" i="9"/>
  <c r="AC218" i="9"/>
  <c r="AB218" i="9"/>
  <c r="AA218" i="9"/>
  <c r="Z218" i="9"/>
  <c r="Y218" i="9"/>
  <c r="X218" i="9"/>
  <c r="W218" i="9"/>
  <c r="AH217" i="9"/>
  <c r="AG217" i="9"/>
  <c r="AF217" i="9"/>
  <c r="AE217" i="9"/>
  <c r="AD217" i="9"/>
  <c r="AC217" i="9"/>
  <c r="AB217" i="9"/>
  <c r="AA217" i="9"/>
  <c r="Z217" i="9"/>
  <c r="Y217" i="9"/>
  <c r="X217" i="9"/>
  <c r="W217" i="9"/>
  <c r="AH216" i="9"/>
  <c r="AG216" i="9"/>
  <c r="AF216" i="9"/>
  <c r="AE216" i="9"/>
  <c r="AD216" i="9"/>
  <c r="AC216" i="9"/>
  <c r="AB216" i="9"/>
  <c r="AA216" i="9"/>
  <c r="Z216" i="9"/>
  <c r="Y216" i="9"/>
  <c r="X216" i="9"/>
  <c r="W216" i="9"/>
  <c r="AH215" i="9"/>
  <c r="AG215" i="9"/>
  <c r="AF215" i="9"/>
  <c r="AE215" i="9"/>
  <c r="AD215" i="9"/>
  <c r="AC215" i="9"/>
  <c r="AB215" i="9"/>
  <c r="AA215" i="9"/>
  <c r="Z215" i="9"/>
  <c r="Y215" i="9"/>
  <c r="X215" i="9"/>
  <c r="W215" i="9"/>
  <c r="AH214" i="9"/>
  <c r="AG214" i="9"/>
  <c r="AF214" i="9"/>
  <c r="AE214" i="9"/>
  <c r="AD214" i="9"/>
  <c r="AC214" i="9"/>
  <c r="AB214" i="9"/>
  <c r="AA214" i="9"/>
  <c r="Z214" i="9"/>
  <c r="Y214" i="9"/>
  <c r="X214" i="9"/>
  <c r="W214" i="9"/>
  <c r="AH213" i="9"/>
  <c r="AG213" i="9"/>
  <c r="AF213" i="9"/>
  <c r="AE213" i="9"/>
  <c r="AD213" i="9"/>
  <c r="AC213" i="9"/>
  <c r="AB213" i="9"/>
  <c r="AA213" i="9"/>
  <c r="Z213" i="9"/>
  <c r="Y213" i="9"/>
  <c r="X213" i="9"/>
  <c r="W213" i="9"/>
  <c r="AH212" i="9"/>
  <c r="AG212" i="9"/>
  <c r="AF212" i="9"/>
  <c r="AE212" i="9"/>
  <c r="AD212" i="9"/>
  <c r="AC212" i="9"/>
  <c r="AB212" i="9"/>
  <c r="AA212" i="9"/>
  <c r="Z212" i="9"/>
  <c r="Y212" i="9"/>
  <c r="X212" i="9"/>
  <c r="W212" i="9"/>
  <c r="AH211" i="9"/>
  <c r="AG211" i="9"/>
  <c r="AF211" i="9"/>
  <c r="AE211" i="9"/>
  <c r="AD211" i="9"/>
  <c r="AC211" i="9"/>
  <c r="AB211" i="9"/>
  <c r="AA211" i="9"/>
  <c r="Z211" i="9"/>
  <c r="Y211" i="9"/>
  <c r="X211" i="9"/>
  <c r="W211" i="9"/>
  <c r="AH210" i="9"/>
  <c r="AG210" i="9"/>
  <c r="AF210" i="9"/>
  <c r="AE210" i="9"/>
  <c r="AD210" i="9"/>
  <c r="AC210" i="9"/>
  <c r="AB210" i="9"/>
  <c r="AA210" i="9"/>
  <c r="Z210" i="9"/>
  <c r="Y210" i="9"/>
  <c r="X210" i="9"/>
  <c r="W210" i="9"/>
  <c r="AH209" i="9"/>
  <c r="AG209" i="9"/>
  <c r="AF209" i="9"/>
  <c r="AE209" i="9"/>
  <c r="AD209" i="9"/>
  <c r="AC209" i="9"/>
  <c r="AB209" i="9"/>
  <c r="AA209" i="9"/>
  <c r="Z209" i="9"/>
  <c r="Y209" i="9"/>
  <c r="X209" i="9"/>
  <c r="W209" i="9"/>
  <c r="AH208" i="9"/>
  <c r="AG208" i="9"/>
  <c r="AF208" i="9"/>
  <c r="AE208" i="9"/>
  <c r="AD208" i="9"/>
  <c r="AC208" i="9"/>
  <c r="AB208" i="9"/>
  <c r="AA208" i="9"/>
  <c r="Z208" i="9"/>
  <c r="Y208" i="9"/>
  <c r="X208" i="9"/>
  <c r="W208" i="9"/>
  <c r="AH207" i="9"/>
  <c r="AG207" i="9"/>
  <c r="AF207" i="9"/>
  <c r="AE207" i="9"/>
  <c r="AD207" i="9"/>
  <c r="AC207" i="9"/>
  <c r="AB207" i="9"/>
  <c r="AA207" i="9"/>
  <c r="Z207" i="9"/>
  <c r="Y207" i="9"/>
  <c r="X207" i="9"/>
  <c r="W207" i="9"/>
  <c r="AH206" i="9"/>
  <c r="AG206" i="9"/>
  <c r="AF206" i="9"/>
  <c r="AE206" i="9"/>
  <c r="AD206" i="9"/>
  <c r="AC206" i="9"/>
  <c r="AB206" i="9"/>
  <c r="AA206" i="9"/>
  <c r="Z206" i="9"/>
  <c r="Y206" i="9"/>
  <c r="X206" i="9"/>
  <c r="W206" i="9"/>
  <c r="AH205" i="9"/>
  <c r="AG205" i="9"/>
  <c r="AF205" i="9"/>
  <c r="AE205" i="9"/>
  <c r="AD205" i="9"/>
  <c r="AC205" i="9"/>
  <c r="AB205" i="9"/>
  <c r="AA205" i="9"/>
  <c r="Z205" i="9"/>
  <c r="Y205" i="9"/>
  <c r="X205" i="9"/>
  <c r="W205" i="9"/>
  <c r="AH204" i="9"/>
  <c r="AG204" i="9"/>
  <c r="AF204" i="9"/>
  <c r="AE204" i="9"/>
  <c r="AD204" i="9"/>
  <c r="AC204" i="9"/>
  <c r="AB204" i="9"/>
  <c r="AA204" i="9"/>
  <c r="Z204" i="9"/>
  <c r="Y204" i="9"/>
  <c r="X204" i="9"/>
  <c r="W204" i="9"/>
  <c r="AH203" i="9"/>
  <c r="AG203" i="9"/>
  <c r="AF203" i="9"/>
  <c r="AE203" i="9"/>
  <c r="AD203" i="9"/>
  <c r="AC203" i="9"/>
  <c r="AB203" i="9"/>
  <c r="AA203" i="9"/>
  <c r="Z203" i="9"/>
  <c r="Y203" i="9"/>
  <c r="X203" i="9"/>
  <c r="W203" i="9"/>
  <c r="AH202" i="9"/>
  <c r="AG202" i="9"/>
  <c r="AF202" i="9"/>
  <c r="AE202" i="9"/>
  <c r="AD202" i="9"/>
  <c r="AC202" i="9"/>
  <c r="AB202" i="9"/>
  <c r="AA202" i="9"/>
  <c r="Z202" i="9"/>
  <c r="Y202" i="9"/>
  <c r="X202" i="9"/>
  <c r="W202" i="9"/>
  <c r="AH201" i="9"/>
  <c r="AG201" i="9"/>
  <c r="AF201" i="9"/>
  <c r="AE201" i="9"/>
  <c r="AD201" i="9"/>
  <c r="AC201" i="9"/>
  <c r="AB201" i="9"/>
  <c r="AA201" i="9"/>
  <c r="Z201" i="9"/>
  <c r="Y201" i="9"/>
  <c r="X201" i="9"/>
  <c r="W201" i="9"/>
  <c r="AH200" i="9"/>
  <c r="AG200" i="9"/>
  <c r="AF200" i="9"/>
  <c r="AE200" i="9"/>
  <c r="AD200" i="9"/>
  <c r="AC200" i="9"/>
  <c r="AB200" i="9"/>
  <c r="AA200" i="9"/>
  <c r="Z200" i="9"/>
  <c r="Y200" i="9"/>
  <c r="X200" i="9"/>
  <c r="W200" i="9"/>
  <c r="AH199" i="9"/>
  <c r="AG199" i="9"/>
  <c r="AF199" i="9"/>
  <c r="AE199" i="9"/>
  <c r="AD199" i="9"/>
  <c r="AC199" i="9"/>
  <c r="AB199" i="9"/>
  <c r="AA199" i="9"/>
  <c r="Z199" i="9"/>
  <c r="Y199" i="9"/>
  <c r="X199" i="9"/>
  <c r="W199" i="9"/>
  <c r="AH198" i="9"/>
  <c r="AG198" i="9"/>
  <c r="AF198" i="9"/>
  <c r="AE198" i="9"/>
  <c r="AD198" i="9"/>
  <c r="AC198" i="9"/>
  <c r="AB198" i="9"/>
  <c r="AA198" i="9"/>
  <c r="Z198" i="9"/>
  <c r="Y198" i="9"/>
  <c r="X198" i="9"/>
  <c r="W198" i="9"/>
  <c r="AH197" i="9"/>
  <c r="AG197" i="9"/>
  <c r="AF197" i="9"/>
  <c r="AE197" i="9"/>
  <c r="AD197" i="9"/>
  <c r="AC197" i="9"/>
  <c r="AB197" i="9"/>
  <c r="AA197" i="9"/>
  <c r="Z197" i="9"/>
  <c r="Y197" i="9"/>
  <c r="X197" i="9"/>
  <c r="W197" i="9"/>
  <c r="AH196" i="9"/>
  <c r="AG196" i="9"/>
  <c r="AF196" i="9"/>
  <c r="AE196" i="9"/>
  <c r="AD196" i="9"/>
  <c r="AC196" i="9"/>
  <c r="AB196" i="9"/>
  <c r="AA196" i="9"/>
  <c r="Z196" i="9"/>
  <c r="Y196" i="9"/>
  <c r="X196" i="9"/>
  <c r="W196" i="9"/>
  <c r="AH195" i="9"/>
  <c r="AG195" i="9"/>
  <c r="AF195" i="9"/>
  <c r="AE195" i="9"/>
  <c r="AD195" i="9"/>
  <c r="AC195" i="9"/>
  <c r="AB195" i="9"/>
  <c r="AA195" i="9"/>
  <c r="Z195" i="9"/>
  <c r="Y195" i="9"/>
  <c r="X195" i="9"/>
  <c r="W195" i="9"/>
  <c r="AH194" i="9"/>
  <c r="AG194" i="9"/>
  <c r="AF194" i="9"/>
  <c r="AE194" i="9"/>
  <c r="AD194" i="9"/>
  <c r="AC194" i="9"/>
  <c r="AB194" i="9"/>
  <c r="AA194" i="9"/>
  <c r="Z194" i="9"/>
  <c r="Y194" i="9"/>
  <c r="X194" i="9"/>
  <c r="W194" i="9"/>
  <c r="AH193" i="9"/>
  <c r="AG193" i="9"/>
  <c r="AF193" i="9"/>
  <c r="AE193" i="9"/>
  <c r="AD193" i="9"/>
  <c r="AC193" i="9"/>
  <c r="AB193" i="9"/>
  <c r="AA193" i="9"/>
  <c r="Z193" i="9"/>
  <c r="Y193" i="9"/>
  <c r="X193" i="9"/>
  <c r="W193" i="9"/>
  <c r="AH192" i="9"/>
  <c r="AG192" i="9"/>
  <c r="AF192" i="9"/>
  <c r="AE192" i="9"/>
  <c r="AD192" i="9"/>
  <c r="AC192" i="9"/>
  <c r="AB192" i="9"/>
  <c r="AA192" i="9"/>
  <c r="Z192" i="9"/>
  <c r="Y192" i="9"/>
  <c r="X192" i="9"/>
  <c r="W192" i="9"/>
  <c r="AH191" i="9"/>
  <c r="AG191" i="9"/>
  <c r="AF191" i="9"/>
  <c r="AE191" i="9"/>
  <c r="AD191" i="9"/>
  <c r="AC191" i="9"/>
  <c r="AB191" i="9"/>
  <c r="AA191" i="9"/>
  <c r="Z191" i="9"/>
  <c r="Y191" i="9"/>
  <c r="X191" i="9"/>
  <c r="W191" i="9"/>
  <c r="AH190" i="9"/>
  <c r="AG190" i="9"/>
  <c r="AF190" i="9"/>
  <c r="AE190" i="9"/>
  <c r="AD190" i="9"/>
  <c r="AC190" i="9"/>
  <c r="AB190" i="9"/>
  <c r="AA190" i="9"/>
  <c r="Z190" i="9"/>
  <c r="Y190" i="9"/>
  <c r="X190" i="9"/>
  <c r="W190" i="9"/>
  <c r="AH189" i="9"/>
  <c r="AG189" i="9"/>
  <c r="AF189" i="9"/>
  <c r="AE189" i="9"/>
  <c r="AD189" i="9"/>
  <c r="AC189" i="9"/>
  <c r="AB189" i="9"/>
  <c r="AA189" i="9"/>
  <c r="Z189" i="9"/>
  <c r="Y189" i="9"/>
  <c r="X189" i="9"/>
  <c r="W189" i="9"/>
  <c r="AH188" i="9"/>
  <c r="AG188" i="9"/>
  <c r="AF188" i="9"/>
  <c r="AE188" i="9"/>
  <c r="AD188" i="9"/>
  <c r="AC188" i="9"/>
  <c r="AB188" i="9"/>
  <c r="AA188" i="9"/>
  <c r="Z188" i="9"/>
  <c r="Y188" i="9"/>
  <c r="X188" i="9"/>
  <c r="W188" i="9"/>
  <c r="AH187" i="9"/>
  <c r="AG187" i="9"/>
  <c r="AF187" i="9"/>
  <c r="AE187" i="9"/>
  <c r="AD187" i="9"/>
  <c r="AC187" i="9"/>
  <c r="AB187" i="9"/>
  <c r="AA187" i="9"/>
  <c r="Z187" i="9"/>
  <c r="Y187" i="9"/>
  <c r="X187" i="9"/>
  <c r="W187" i="9"/>
  <c r="AH186" i="9"/>
  <c r="AG186" i="9"/>
  <c r="AF186" i="9"/>
  <c r="AE186" i="9"/>
  <c r="AD186" i="9"/>
  <c r="AC186" i="9"/>
  <c r="AB186" i="9"/>
  <c r="AA186" i="9"/>
  <c r="Z186" i="9"/>
  <c r="Y186" i="9"/>
  <c r="X186" i="9"/>
  <c r="W186" i="9"/>
  <c r="AH185" i="9"/>
  <c r="AG185" i="9"/>
  <c r="AF185" i="9"/>
  <c r="AE185" i="9"/>
  <c r="AD185" i="9"/>
  <c r="AC185" i="9"/>
  <c r="AB185" i="9"/>
  <c r="AA185" i="9"/>
  <c r="Z185" i="9"/>
  <c r="Y185" i="9"/>
  <c r="X185" i="9"/>
  <c r="W185" i="9"/>
  <c r="AH184" i="9"/>
  <c r="AG184" i="9"/>
  <c r="AF184" i="9"/>
  <c r="AE184" i="9"/>
  <c r="AD184" i="9"/>
  <c r="AC184" i="9"/>
  <c r="AB184" i="9"/>
  <c r="AA184" i="9"/>
  <c r="Z184" i="9"/>
  <c r="Y184" i="9"/>
  <c r="X184" i="9"/>
  <c r="W184" i="9"/>
  <c r="AH183" i="9"/>
  <c r="AG183" i="9"/>
  <c r="AF183" i="9"/>
  <c r="AE183" i="9"/>
  <c r="AD183" i="9"/>
  <c r="AC183" i="9"/>
  <c r="AB183" i="9"/>
  <c r="AA183" i="9"/>
  <c r="Z183" i="9"/>
  <c r="Y183" i="9"/>
  <c r="X183" i="9"/>
  <c r="W183" i="9"/>
  <c r="AH182" i="9"/>
  <c r="AG182" i="9"/>
  <c r="AF182" i="9"/>
  <c r="AE182" i="9"/>
  <c r="AD182" i="9"/>
  <c r="AC182" i="9"/>
  <c r="AB182" i="9"/>
  <c r="AA182" i="9"/>
  <c r="Z182" i="9"/>
  <c r="Y182" i="9"/>
  <c r="X182" i="9"/>
  <c r="W182" i="9"/>
  <c r="AH181" i="9"/>
  <c r="AG181" i="9"/>
  <c r="AF181" i="9"/>
  <c r="AE181" i="9"/>
  <c r="AD181" i="9"/>
  <c r="AC181" i="9"/>
  <c r="AB181" i="9"/>
  <c r="AA181" i="9"/>
  <c r="Z181" i="9"/>
  <c r="Y181" i="9"/>
  <c r="X181" i="9"/>
  <c r="W181" i="9"/>
  <c r="AH180" i="9"/>
  <c r="AG180" i="9"/>
  <c r="AF180" i="9"/>
  <c r="AE180" i="9"/>
  <c r="AD180" i="9"/>
  <c r="AC180" i="9"/>
  <c r="AB180" i="9"/>
  <c r="AA180" i="9"/>
  <c r="Z180" i="9"/>
  <c r="Y180" i="9"/>
  <c r="X180" i="9"/>
  <c r="W180" i="9"/>
  <c r="AH179" i="9"/>
  <c r="AG179" i="9"/>
  <c r="AF179" i="9"/>
  <c r="AE179" i="9"/>
  <c r="AD179" i="9"/>
  <c r="AC179" i="9"/>
  <c r="AB179" i="9"/>
  <c r="AA179" i="9"/>
  <c r="Z179" i="9"/>
  <c r="Y179" i="9"/>
  <c r="X179" i="9"/>
  <c r="W179" i="9"/>
  <c r="AH178" i="9"/>
  <c r="AG178" i="9"/>
  <c r="AF178" i="9"/>
  <c r="AE178" i="9"/>
  <c r="AD178" i="9"/>
  <c r="AC178" i="9"/>
  <c r="AB178" i="9"/>
  <c r="AA178" i="9"/>
  <c r="Z178" i="9"/>
  <c r="Y178" i="9"/>
  <c r="X178" i="9"/>
  <c r="W178" i="9"/>
  <c r="AH177" i="9"/>
  <c r="AG177" i="9"/>
  <c r="AF177" i="9"/>
  <c r="AE177" i="9"/>
  <c r="AD177" i="9"/>
  <c r="AC177" i="9"/>
  <c r="AB177" i="9"/>
  <c r="AA177" i="9"/>
  <c r="Z177" i="9"/>
  <c r="Y177" i="9"/>
  <c r="X177" i="9"/>
  <c r="W177" i="9"/>
  <c r="AH176" i="9"/>
  <c r="AG176" i="9"/>
  <c r="AF176" i="9"/>
  <c r="AE176" i="9"/>
  <c r="AD176" i="9"/>
  <c r="AC176" i="9"/>
  <c r="AB176" i="9"/>
  <c r="AA176" i="9"/>
  <c r="Z176" i="9"/>
  <c r="Y176" i="9"/>
  <c r="X176" i="9"/>
  <c r="W176" i="9"/>
  <c r="AH175" i="9"/>
  <c r="AG175" i="9"/>
  <c r="AF175" i="9"/>
  <c r="AE175" i="9"/>
  <c r="AD175" i="9"/>
  <c r="AC175" i="9"/>
  <c r="AB175" i="9"/>
  <c r="AA175" i="9"/>
  <c r="Z175" i="9"/>
  <c r="Y175" i="9"/>
  <c r="X175" i="9"/>
  <c r="W175" i="9"/>
  <c r="AH174" i="9"/>
  <c r="AG174" i="9"/>
  <c r="AF174" i="9"/>
  <c r="AE174" i="9"/>
  <c r="AD174" i="9"/>
  <c r="AC174" i="9"/>
  <c r="AB174" i="9"/>
  <c r="AA174" i="9"/>
  <c r="Z174" i="9"/>
  <c r="Y174" i="9"/>
  <c r="X174" i="9"/>
  <c r="W174" i="9"/>
  <c r="AH173" i="9"/>
  <c r="AG173" i="9"/>
  <c r="AF173" i="9"/>
  <c r="AE173" i="9"/>
  <c r="AD173" i="9"/>
  <c r="AC173" i="9"/>
  <c r="AB173" i="9"/>
  <c r="AA173" i="9"/>
  <c r="Z173" i="9"/>
  <c r="Y173" i="9"/>
  <c r="X173" i="9"/>
  <c r="W173" i="9"/>
  <c r="AH172" i="9"/>
  <c r="AG172" i="9"/>
  <c r="AF172" i="9"/>
  <c r="AE172" i="9"/>
  <c r="AD172" i="9"/>
  <c r="AC172" i="9"/>
  <c r="AB172" i="9"/>
  <c r="AA172" i="9"/>
  <c r="Z172" i="9"/>
  <c r="Y172" i="9"/>
  <c r="X172" i="9"/>
  <c r="W172" i="9"/>
  <c r="AH171" i="9"/>
  <c r="AG171" i="9"/>
  <c r="AF171" i="9"/>
  <c r="AE171" i="9"/>
  <c r="AD171" i="9"/>
  <c r="AC171" i="9"/>
  <c r="AB171" i="9"/>
  <c r="AA171" i="9"/>
  <c r="Z171" i="9"/>
  <c r="Y171" i="9"/>
  <c r="X171" i="9"/>
  <c r="W171" i="9"/>
  <c r="AH170" i="9"/>
  <c r="AG170" i="9"/>
  <c r="AF170" i="9"/>
  <c r="AE170" i="9"/>
  <c r="AD170" i="9"/>
  <c r="AC170" i="9"/>
  <c r="AB170" i="9"/>
  <c r="AA170" i="9"/>
  <c r="Z170" i="9"/>
  <c r="Y170" i="9"/>
  <c r="X170" i="9"/>
  <c r="W170" i="9"/>
  <c r="AH169" i="9"/>
  <c r="AG169" i="9"/>
  <c r="AF169" i="9"/>
  <c r="AE169" i="9"/>
  <c r="AD169" i="9"/>
  <c r="AC169" i="9"/>
  <c r="AB169" i="9"/>
  <c r="AA169" i="9"/>
  <c r="Z169" i="9"/>
  <c r="Y169" i="9"/>
  <c r="X169" i="9"/>
  <c r="W169" i="9"/>
  <c r="AH168" i="9"/>
  <c r="AG168" i="9"/>
  <c r="AF168" i="9"/>
  <c r="AE168" i="9"/>
  <c r="AD168" i="9"/>
  <c r="AC168" i="9"/>
  <c r="AB168" i="9"/>
  <c r="AA168" i="9"/>
  <c r="Z168" i="9"/>
  <c r="Y168" i="9"/>
  <c r="X168" i="9"/>
  <c r="W168" i="9"/>
  <c r="AH167" i="9"/>
  <c r="AG167" i="9"/>
  <c r="AF167" i="9"/>
  <c r="AE167" i="9"/>
  <c r="AD167" i="9"/>
  <c r="AC167" i="9"/>
  <c r="AB167" i="9"/>
  <c r="AA167" i="9"/>
  <c r="Z167" i="9"/>
  <c r="Y167" i="9"/>
  <c r="X167" i="9"/>
  <c r="W167" i="9"/>
  <c r="AH166" i="9"/>
  <c r="AG166" i="9"/>
  <c r="AF166" i="9"/>
  <c r="AE166" i="9"/>
  <c r="AD166" i="9"/>
  <c r="AC166" i="9"/>
  <c r="AB166" i="9"/>
  <c r="AA166" i="9"/>
  <c r="Z166" i="9"/>
  <c r="Y166" i="9"/>
  <c r="X166" i="9"/>
  <c r="W166" i="9"/>
  <c r="AH165" i="9"/>
  <c r="AG165" i="9"/>
  <c r="AF165" i="9"/>
  <c r="AE165" i="9"/>
  <c r="AD165" i="9"/>
  <c r="AC165" i="9"/>
  <c r="AB165" i="9"/>
  <c r="AA165" i="9"/>
  <c r="Z165" i="9"/>
  <c r="Y165" i="9"/>
  <c r="X165" i="9"/>
  <c r="W165" i="9"/>
  <c r="AH164" i="9"/>
  <c r="AG164" i="9"/>
  <c r="AF164" i="9"/>
  <c r="AE164" i="9"/>
  <c r="AD164" i="9"/>
  <c r="AC164" i="9"/>
  <c r="AB164" i="9"/>
  <c r="AA164" i="9"/>
  <c r="Z164" i="9"/>
  <c r="Y164" i="9"/>
  <c r="X164" i="9"/>
  <c r="W164" i="9"/>
  <c r="AH163" i="9"/>
  <c r="AG163" i="9"/>
  <c r="AF163" i="9"/>
  <c r="AE163" i="9"/>
  <c r="AD163" i="9"/>
  <c r="AC163" i="9"/>
  <c r="AB163" i="9"/>
  <c r="AA163" i="9"/>
  <c r="Z163" i="9"/>
  <c r="Y163" i="9"/>
  <c r="X163" i="9"/>
  <c r="W163" i="9"/>
  <c r="AH162" i="9"/>
  <c r="AG162" i="9"/>
  <c r="AF162" i="9"/>
  <c r="AE162" i="9"/>
  <c r="AD162" i="9"/>
  <c r="AC162" i="9"/>
  <c r="AB162" i="9"/>
  <c r="AA162" i="9"/>
  <c r="Z162" i="9"/>
  <c r="Y162" i="9"/>
  <c r="X162" i="9"/>
  <c r="W162" i="9"/>
  <c r="AH161" i="9"/>
  <c r="AG161" i="9"/>
  <c r="AF161" i="9"/>
  <c r="AE161" i="9"/>
  <c r="AD161" i="9"/>
  <c r="AC161" i="9"/>
  <c r="AB161" i="9"/>
  <c r="AA161" i="9"/>
  <c r="Z161" i="9"/>
  <c r="Y161" i="9"/>
  <c r="X161" i="9"/>
  <c r="W161" i="9"/>
  <c r="AH160" i="9"/>
  <c r="AG160" i="9"/>
  <c r="AF160" i="9"/>
  <c r="AE160" i="9"/>
  <c r="AD160" i="9"/>
  <c r="AC160" i="9"/>
  <c r="AB160" i="9"/>
  <c r="AA160" i="9"/>
  <c r="Z160" i="9"/>
  <c r="Y160" i="9"/>
  <c r="X160" i="9"/>
  <c r="W160" i="9"/>
  <c r="AH159" i="9"/>
  <c r="AG159" i="9"/>
  <c r="AF159" i="9"/>
  <c r="AE159" i="9"/>
  <c r="AD159" i="9"/>
  <c r="AC159" i="9"/>
  <c r="AB159" i="9"/>
  <c r="AA159" i="9"/>
  <c r="Z159" i="9"/>
  <c r="Y159" i="9"/>
  <c r="X159" i="9"/>
  <c r="W159" i="9"/>
  <c r="AH158" i="9"/>
  <c r="AG158" i="9"/>
  <c r="AF158" i="9"/>
  <c r="AE158" i="9"/>
  <c r="AD158" i="9"/>
  <c r="AC158" i="9"/>
  <c r="AB158" i="9"/>
  <c r="AA158" i="9"/>
  <c r="Z158" i="9"/>
  <c r="Y158" i="9"/>
  <c r="X158" i="9"/>
  <c r="W158" i="9"/>
  <c r="AH157" i="9"/>
  <c r="AG157" i="9"/>
  <c r="AF157" i="9"/>
  <c r="AE157" i="9"/>
  <c r="AD157" i="9"/>
  <c r="AC157" i="9"/>
  <c r="AB157" i="9"/>
  <c r="AA157" i="9"/>
  <c r="Z157" i="9"/>
  <c r="Y157" i="9"/>
  <c r="X157" i="9"/>
  <c r="W157" i="9"/>
  <c r="AH156" i="9"/>
  <c r="AG156" i="9"/>
  <c r="AF156" i="9"/>
  <c r="AE156" i="9"/>
  <c r="AD156" i="9"/>
  <c r="AC156" i="9"/>
  <c r="AB156" i="9"/>
  <c r="AA156" i="9"/>
  <c r="Z156" i="9"/>
  <c r="Y156" i="9"/>
  <c r="X156" i="9"/>
  <c r="W156" i="9"/>
  <c r="AH155" i="9"/>
  <c r="AG155" i="9"/>
  <c r="AF155" i="9"/>
  <c r="AE155" i="9"/>
  <c r="AD155" i="9"/>
  <c r="AC155" i="9"/>
  <c r="AB155" i="9"/>
  <c r="AA155" i="9"/>
  <c r="Z155" i="9"/>
  <c r="Y155" i="9"/>
  <c r="X155" i="9"/>
  <c r="W155" i="9"/>
  <c r="AH154" i="9"/>
  <c r="AG154" i="9"/>
  <c r="AF154" i="9"/>
  <c r="AE154" i="9"/>
  <c r="AD154" i="9"/>
  <c r="AC154" i="9"/>
  <c r="AB154" i="9"/>
  <c r="AA154" i="9"/>
  <c r="Z154" i="9"/>
  <c r="Y154" i="9"/>
  <c r="X154" i="9"/>
  <c r="W154" i="9"/>
  <c r="AH153" i="9"/>
  <c r="AG153" i="9"/>
  <c r="AF153" i="9"/>
  <c r="AE153" i="9"/>
  <c r="AD153" i="9"/>
  <c r="AC153" i="9"/>
  <c r="AB153" i="9"/>
  <c r="AA153" i="9"/>
  <c r="Z153" i="9"/>
  <c r="Y153" i="9"/>
  <c r="X153" i="9"/>
  <c r="W153" i="9"/>
  <c r="AH152" i="9"/>
  <c r="AG152" i="9"/>
  <c r="AF152" i="9"/>
  <c r="AE152" i="9"/>
  <c r="AD152" i="9"/>
  <c r="AC152" i="9"/>
  <c r="AB152" i="9"/>
  <c r="AA152" i="9"/>
  <c r="Z152" i="9"/>
  <c r="Y152" i="9"/>
  <c r="X152" i="9"/>
  <c r="W152" i="9"/>
  <c r="AH151" i="9"/>
  <c r="AG151" i="9"/>
  <c r="AF151" i="9"/>
  <c r="AE151" i="9"/>
  <c r="AD151" i="9"/>
  <c r="AC151" i="9"/>
  <c r="AB151" i="9"/>
  <c r="AA151" i="9"/>
  <c r="Z151" i="9"/>
  <c r="Y151" i="9"/>
  <c r="X151" i="9"/>
  <c r="W151" i="9"/>
  <c r="AH150" i="9"/>
  <c r="AG150" i="9"/>
  <c r="AF150" i="9"/>
  <c r="AE150" i="9"/>
  <c r="AD150" i="9"/>
  <c r="AC150" i="9"/>
  <c r="AB150" i="9"/>
  <c r="AA150" i="9"/>
  <c r="Z150" i="9"/>
  <c r="Y150" i="9"/>
  <c r="X150" i="9"/>
  <c r="W150" i="9"/>
  <c r="AH149" i="9"/>
  <c r="AG149" i="9"/>
  <c r="AF149" i="9"/>
  <c r="AE149" i="9"/>
  <c r="AD149" i="9"/>
  <c r="AC149" i="9"/>
  <c r="AB149" i="9"/>
  <c r="AA149" i="9"/>
  <c r="Z149" i="9"/>
  <c r="Y149" i="9"/>
  <c r="X149" i="9"/>
  <c r="W149" i="9"/>
  <c r="AH148" i="9"/>
  <c r="AG148" i="9"/>
  <c r="AF148" i="9"/>
  <c r="AE148" i="9"/>
  <c r="AD148" i="9"/>
  <c r="AC148" i="9"/>
  <c r="AB148" i="9"/>
  <c r="AA148" i="9"/>
  <c r="Z148" i="9"/>
  <c r="Y148" i="9"/>
  <c r="X148" i="9"/>
  <c r="W148" i="9"/>
  <c r="AH147" i="9"/>
  <c r="AG147" i="9"/>
  <c r="AF147" i="9"/>
  <c r="AE147" i="9"/>
  <c r="AD147" i="9"/>
  <c r="AC147" i="9"/>
  <c r="AB147" i="9"/>
  <c r="AA147" i="9"/>
  <c r="Z147" i="9"/>
  <c r="Y147" i="9"/>
  <c r="X147" i="9"/>
  <c r="W147" i="9"/>
  <c r="AH146" i="9"/>
  <c r="AG146" i="9"/>
  <c r="AF146" i="9"/>
  <c r="AE146" i="9"/>
  <c r="AD146" i="9"/>
  <c r="AC146" i="9"/>
  <c r="AB146" i="9"/>
  <c r="AA146" i="9"/>
  <c r="Z146" i="9"/>
  <c r="Y146" i="9"/>
  <c r="X146" i="9"/>
  <c r="W146" i="9"/>
  <c r="AH145" i="9"/>
  <c r="AG145" i="9"/>
  <c r="AF145" i="9"/>
  <c r="AE145" i="9"/>
  <c r="AD145" i="9"/>
  <c r="AC145" i="9"/>
  <c r="AB145" i="9"/>
  <c r="AA145" i="9"/>
  <c r="Z145" i="9"/>
  <c r="Y145" i="9"/>
  <c r="X145" i="9"/>
  <c r="W145" i="9"/>
  <c r="AH144" i="9"/>
  <c r="AG144" i="9"/>
  <c r="AF144" i="9"/>
  <c r="AE144" i="9"/>
  <c r="AD144" i="9"/>
  <c r="AC144" i="9"/>
  <c r="AB144" i="9"/>
  <c r="AA144" i="9"/>
  <c r="Z144" i="9"/>
  <c r="Y144" i="9"/>
  <c r="X144" i="9"/>
  <c r="W144" i="9"/>
  <c r="AH143" i="9"/>
  <c r="AG143" i="9"/>
  <c r="AF143" i="9"/>
  <c r="AE143" i="9"/>
  <c r="AD143" i="9"/>
  <c r="AC143" i="9"/>
  <c r="AB143" i="9"/>
  <c r="AA143" i="9"/>
  <c r="Z143" i="9"/>
  <c r="Y143" i="9"/>
  <c r="X143" i="9"/>
  <c r="W143" i="9"/>
  <c r="AH142" i="9"/>
  <c r="AG142" i="9"/>
  <c r="AF142" i="9"/>
  <c r="AE142" i="9"/>
  <c r="AD142" i="9"/>
  <c r="AC142" i="9"/>
  <c r="AB142" i="9"/>
  <c r="AA142" i="9"/>
  <c r="Z142" i="9"/>
  <c r="Y142" i="9"/>
  <c r="X142" i="9"/>
  <c r="W142" i="9"/>
  <c r="AH141" i="9"/>
  <c r="AG141" i="9"/>
  <c r="AF141" i="9"/>
  <c r="AE141" i="9"/>
  <c r="AD141" i="9"/>
  <c r="AC141" i="9"/>
  <c r="AB141" i="9"/>
  <c r="AA141" i="9"/>
  <c r="Z141" i="9"/>
  <c r="Y141" i="9"/>
  <c r="X141" i="9"/>
  <c r="W141" i="9"/>
  <c r="AH140" i="9"/>
  <c r="AG140" i="9"/>
  <c r="AF140" i="9"/>
  <c r="AE140" i="9"/>
  <c r="AD140" i="9"/>
  <c r="AC140" i="9"/>
  <c r="AB140" i="9"/>
  <c r="AA140" i="9"/>
  <c r="Z140" i="9"/>
  <c r="Y140" i="9"/>
  <c r="X140" i="9"/>
  <c r="W140" i="9"/>
  <c r="AH139" i="9"/>
  <c r="AG139" i="9"/>
  <c r="AF139" i="9"/>
  <c r="AE139" i="9"/>
  <c r="AD139" i="9"/>
  <c r="AC139" i="9"/>
  <c r="AB139" i="9"/>
  <c r="AA139" i="9"/>
  <c r="Z139" i="9"/>
  <c r="Y139" i="9"/>
  <c r="X139" i="9"/>
  <c r="W139" i="9"/>
  <c r="AH138" i="9"/>
  <c r="AG138" i="9"/>
  <c r="AF138" i="9"/>
  <c r="AE138" i="9"/>
  <c r="AD138" i="9"/>
  <c r="AC138" i="9"/>
  <c r="AB138" i="9"/>
  <c r="AA138" i="9"/>
  <c r="Z138" i="9"/>
  <c r="Y138" i="9"/>
  <c r="X138" i="9"/>
  <c r="W138" i="9"/>
  <c r="AH137" i="9"/>
  <c r="AG137" i="9"/>
  <c r="AF137" i="9"/>
  <c r="AE137" i="9"/>
  <c r="AD137" i="9"/>
  <c r="AC137" i="9"/>
  <c r="AB137" i="9"/>
  <c r="AA137" i="9"/>
  <c r="Z137" i="9"/>
  <c r="Y137" i="9"/>
  <c r="X137" i="9"/>
  <c r="W137" i="9"/>
  <c r="AH136" i="9"/>
  <c r="AG136" i="9"/>
  <c r="AF136" i="9"/>
  <c r="AE136" i="9"/>
  <c r="AD136" i="9"/>
  <c r="AC136" i="9"/>
  <c r="AB136" i="9"/>
  <c r="AA136" i="9"/>
  <c r="Z136" i="9"/>
  <c r="Y136" i="9"/>
  <c r="X136" i="9"/>
  <c r="W136" i="9"/>
  <c r="AH135" i="9"/>
  <c r="AG135" i="9"/>
  <c r="AF135" i="9"/>
  <c r="AE135" i="9"/>
  <c r="AD135" i="9"/>
  <c r="AC135" i="9"/>
  <c r="AB135" i="9"/>
  <c r="AA135" i="9"/>
  <c r="Z135" i="9"/>
  <c r="Y135" i="9"/>
  <c r="X135" i="9"/>
  <c r="W135" i="9"/>
  <c r="AH134" i="9"/>
  <c r="AG134" i="9"/>
  <c r="AF134" i="9"/>
  <c r="AE134" i="9"/>
  <c r="AD134" i="9"/>
  <c r="AC134" i="9"/>
  <c r="AB134" i="9"/>
  <c r="AA134" i="9"/>
  <c r="Z134" i="9"/>
  <c r="Y134" i="9"/>
  <c r="X134" i="9"/>
  <c r="W134" i="9"/>
  <c r="AH133" i="9"/>
  <c r="AG133" i="9"/>
  <c r="AF133" i="9"/>
  <c r="AE133" i="9"/>
  <c r="AD133" i="9"/>
  <c r="AC133" i="9"/>
  <c r="AB133" i="9"/>
  <c r="AA133" i="9"/>
  <c r="Z133" i="9"/>
  <c r="Y133" i="9"/>
  <c r="X133" i="9"/>
  <c r="W133" i="9"/>
  <c r="AH132" i="9"/>
  <c r="AG132" i="9"/>
  <c r="AF132" i="9"/>
  <c r="AE132" i="9"/>
  <c r="AD132" i="9"/>
  <c r="AC132" i="9"/>
  <c r="AB132" i="9"/>
  <c r="AA132" i="9"/>
  <c r="Z132" i="9"/>
  <c r="Y132" i="9"/>
  <c r="X132" i="9"/>
  <c r="W132" i="9"/>
  <c r="AH131" i="9"/>
  <c r="AG131" i="9"/>
  <c r="AF131" i="9"/>
  <c r="AE131" i="9"/>
  <c r="AD131" i="9"/>
  <c r="AC131" i="9"/>
  <c r="AB131" i="9"/>
  <c r="AA131" i="9"/>
  <c r="Z131" i="9"/>
  <c r="Y131" i="9"/>
  <c r="X131" i="9"/>
  <c r="W131" i="9"/>
  <c r="AH130" i="9"/>
  <c r="AG130" i="9"/>
  <c r="AF130" i="9"/>
  <c r="AE130" i="9"/>
  <c r="AD130" i="9"/>
  <c r="AC130" i="9"/>
  <c r="AB130" i="9"/>
  <c r="AA130" i="9"/>
  <c r="Z130" i="9"/>
  <c r="Y130" i="9"/>
  <c r="X130" i="9"/>
  <c r="W130" i="9"/>
  <c r="AH129" i="9"/>
  <c r="AG129" i="9"/>
  <c r="AF129" i="9"/>
  <c r="AE129" i="9"/>
  <c r="AD129" i="9"/>
  <c r="AC129" i="9"/>
  <c r="AB129" i="9"/>
  <c r="AA129" i="9"/>
  <c r="Z129" i="9"/>
  <c r="Y129" i="9"/>
  <c r="X129" i="9"/>
  <c r="W129" i="9"/>
  <c r="AH128" i="9"/>
  <c r="AG128" i="9"/>
  <c r="AF128" i="9"/>
  <c r="AE128" i="9"/>
  <c r="AD128" i="9"/>
  <c r="AC128" i="9"/>
  <c r="AB128" i="9"/>
  <c r="AA128" i="9"/>
  <c r="Z128" i="9"/>
  <c r="Y128" i="9"/>
  <c r="X128" i="9"/>
  <c r="W128" i="9"/>
  <c r="AH127" i="9"/>
  <c r="AG127" i="9"/>
  <c r="AF127" i="9"/>
  <c r="AE127" i="9"/>
  <c r="AD127" i="9"/>
  <c r="AC127" i="9"/>
  <c r="AB127" i="9"/>
  <c r="AA127" i="9"/>
  <c r="Z127" i="9"/>
  <c r="Y127" i="9"/>
  <c r="X127" i="9"/>
  <c r="W127" i="9"/>
  <c r="AH126" i="9"/>
  <c r="AG126" i="9"/>
  <c r="AF126" i="9"/>
  <c r="AE126" i="9"/>
  <c r="AD126" i="9"/>
  <c r="AC126" i="9"/>
  <c r="AB126" i="9"/>
  <c r="AA126" i="9"/>
  <c r="Z126" i="9"/>
  <c r="Y126" i="9"/>
  <c r="X126" i="9"/>
  <c r="W126" i="9"/>
  <c r="AH119" i="9"/>
  <c r="AG119" i="9"/>
  <c r="AF119" i="9"/>
  <c r="AE119" i="9"/>
  <c r="AD119" i="9"/>
  <c r="AC119" i="9"/>
  <c r="AB119" i="9"/>
  <c r="AA119" i="9"/>
  <c r="Z119" i="9"/>
  <c r="Y119" i="9"/>
  <c r="X119" i="9"/>
  <c r="W119" i="9"/>
  <c r="AH118" i="9"/>
  <c r="AG118" i="9"/>
  <c r="AF118" i="9"/>
  <c r="AE118" i="9"/>
  <c r="AD118" i="9"/>
  <c r="AC118" i="9"/>
  <c r="AB118" i="9"/>
  <c r="AA118" i="9"/>
  <c r="Z118" i="9"/>
  <c r="Y118" i="9"/>
  <c r="X118" i="9"/>
  <c r="W118" i="9"/>
  <c r="AH117" i="9"/>
  <c r="AG117" i="9"/>
  <c r="AF117" i="9"/>
  <c r="AE117" i="9"/>
  <c r="AD117" i="9"/>
  <c r="AC117" i="9"/>
  <c r="AB117" i="9"/>
  <c r="AA117" i="9"/>
  <c r="Z117" i="9"/>
  <c r="Y117" i="9"/>
  <c r="X117" i="9"/>
  <c r="W117" i="9"/>
  <c r="AH116" i="9"/>
  <c r="AG116" i="9"/>
  <c r="AF116" i="9"/>
  <c r="AE116" i="9"/>
  <c r="AD116" i="9"/>
  <c r="AC116" i="9"/>
  <c r="AB116" i="9"/>
  <c r="AA116" i="9"/>
  <c r="Z116" i="9"/>
  <c r="Y116" i="9"/>
  <c r="X116" i="9"/>
  <c r="W116" i="9"/>
  <c r="AH115" i="9"/>
  <c r="AG115" i="9"/>
  <c r="AF115" i="9"/>
  <c r="AE115" i="9"/>
  <c r="AD115" i="9"/>
  <c r="AC115" i="9"/>
  <c r="AB115" i="9"/>
  <c r="AA115" i="9"/>
  <c r="Z115" i="9"/>
  <c r="Y115" i="9"/>
  <c r="X115" i="9"/>
  <c r="W115" i="9"/>
  <c r="AH114" i="9"/>
  <c r="AG114" i="9"/>
  <c r="AF114" i="9"/>
  <c r="AE114" i="9"/>
  <c r="AD114" i="9"/>
  <c r="AC114" i="9"/>
  <c r="AB114" i="9"/>
  <c r="AA114" i="9"/>
  <c r="Z114" i="9"/>
  <c r="Y114" i="9"/>
  <c r="X114" i="9"/>
  <c r="W114" i="9"/>
  <c r="AH113" i="9"/>
  <c r="AG113" i="9"/>
  <c r="AF113" i="9"/>
  <c r="AE113" i="9"/>
  <c r="AD113" i="9"/>
  <c r="AC113" i="9"/>
  <c r="AB113" i="9"/>
  <c r="AA113" i="9"/>
  <c r="Z113" i="9"/>
  <c r="Y113" i="9"/>
  <c r="X113" i="9"/>
  <c r="W113" i="9"/>
  <c r="AH112" i="9"/>
  <c r="AG112" i="9"/>
  <c r="AF112" i="9"/>
  <c r="AE112" i="9"/>
  <c r="AD112" i="9"/>
  <c r="AC112" i="9"/>
  <c r="AB112" i="9"/>
  <c r="AA112" i="9"/>
  <c r="Z112" i="9"/>
  <c r="Y112" i="9"/>
  <c r="X112" i="9"/>
  <c r="W112" i="9"/>
  <c r="AH111" i="9"/>
  <c r="AG111" i="9"/>
  <c r="AF111" i="9"/>
  <c r="AE111" i="9"/>
  <c r="AD111" i="9"/>
  <c r="AC111" i="9"/>
  <c r="AB111" i="9"/>
  <c r="AA111" i="9"/>
  <c r="Z111" i="9"/>
  <c r="Y111" i="9"/>
  <c r="X111" i="9"/>
  <c r="W111" i="9"/>
  <c r="AH110" i="9"/>
  <c r="AG110" i="9"/>
  <c r="AF110" i="9"/>
  <c r="AE110" i="9"/>
  <c r="AD110" i="9"/>
  <c r="AC110" i="9"/>
  <c r="AB110" i="9"/>
  <c r="AA110" i="9"/>
  <c r="Z110" i="9"/>
  <c r="Y110" i="9"/>
  <c r="X110" i="9"/>
  <c r="W110" i="9"/>
  <c r="AH109" i="9"/>
  <c r="AG109" i="9"/>
  <c r="AF109" i="9"/>
  <c r="AE109" i="9"/>
  <c r="AD109" i="9"/>
  <c r="AC109" i="9"/>
  <c r="AB109" i="9"/>
  <c r="AA109" i="9"/>
  <c r="Z109" i="9"/>
  <c r="Y109" i="9"/>
  <c r="X109" i="9"/>
  <c r="W109" i="9"/>
  <c r="AH108" i="9"/>
  <c r="AG108" i="9"/>
  <c r="AF108" i="9"/>
  <c r="AE108" i="9"/>
  <c r="AD108" i="9"/>
  <c r="AC108" i="9"/>
  <c r="AB108" i="9"/>
  <c r="AA108" i="9"/>
  <c r="Z108" i="9"/>
  <c r="Y108" i="9"/>
  <c r="X108" i="9"/>
  <c r="W108" i="9"/>
  <c r="AH107" i="9"/>
  <c r="AG107" i="9"/>
  <c r="AF107" i="9"/>
  <c r="AE107" i="9"/>
  <c r="AD107" i="9"/>
  <c r="AC107" i="9"/>
  <c r="AB107" i="9"/>
  <c r="AA107" i="9"/>
  <c r="Z107" i="9"/>
  <c r="Y107" i="9"/>
  <c r="X107" i="9"/>
  <c r="W107" i="9"/>
  <c r="AH106" i="9"/>
  <c r="AG106" i="9"/>
  <c r="AF106" i="9"/>
  <c r="AE106" i="9"/>
  <c r="AD106" i="9"/>
  <c r="AC106" i="9"/>
  <c r="AB106" i="9"/>
  <c r="AA106" i="9"/>
  <c r="Z106" i="9"/>
  <c r="Y106" i="9"/>
  <c r="X106" i="9"/>
  <c r="W106" i="9"/>
  <c r="AH99" i="9"/>
  <c r="AG99" i="9"/>
  <c r="AF99" i="9"/>
  <c r="AE99" i="9"/>
  <c r="AD99" i="9"/>
  <c r="AC99" i="9"/>
  <c r="AB99" i="9"/>
  <c r="AA99" i="9"/>
  <c r="Z99" i="9"/>
  <c r="Y99" i="9"/>
  <c r="X99" i="9"/>
  <c r="W99" i="9"/>
  <c r="AH101" i="9"/>
  <c r="AG101" i="9"/>
  <c r="AF101" i="9"/>
  <c r="AE101" i="9"/>
  <c r="AD101" i="9"/>
  <c r="AC101" i="9"/>
  <c r="AB101" i="9"/>
  <c r="AA101" i="9"/>
  <c r="Z101" i="9"/>
  <c r="Y101" i="9"/>
  <c r="X101" i="9"/>
  <c r="W101" i="9"/>
  <c r="AH100" i="9"/>
  <c r="AG100" i="9"/>
  <c r="AF100" i="9"/>
  <c r="AE100" i="9"/>
  <c r="AD100" i="9"/>
  <c r="AC100" i="9"/>
  <c r="AB100" i="9"/>
  <c r="AA100" i="9"/>
  <c r="Z100" i="9"/>
  <c r="Y100" i="9"/>
  <c r="X100" i="9"/>
  <c r="W100" i="9"/>
  <c r="AH94" i="9"/>
  <c r="AG94" i="9"/>
  <c r="AF94" i="9"/>
  <c r="AE94" i="9"/>
  <c r="AD94" i="9"/>
  <c r="AC94" i="9"/>
  <c r="AB94" i="9"/>
  <c r="AA94" i="9"/>
  <c r="Z94" i="9"/>
  <c r="Y94" i="9"/>
  <c r="X94" i="9"/>
  <c r="W94" i="9"/>
  <c r="AH93" i="9"/>
  <c r="AG93" i="9"/>
  <c r="AF93" i="9"/>
  <c r="AE93" i="9"/>
  <c r="AD93" i="9"/>
  <c r="AC93" i="9"/>
  <c r="AB93" i="9"/>
  <c r="AA93" i="9"/>
  <c r="Z93" i="9"/>
  <c r="Y93" i="9"/>
  <c r="X93" i="9"/>
  <c r="W93" i="9"/>
  <c r="AH92" i="9"/>
  <c r="AG92" i="9"/>
  <c r="AF92" i="9"/>
  <c r="AE92" i="9"/>
  <c r="AD92" i="9"/>
  <c r="AC92" i="9"/>
  <c r="AB92" i="9"/>
  <c r="AA92" i="9"/>
  <c r="Z92" i="9"/>
  <c r="Y92" i="9"/>
  <c r="X92" i="9"/>
  <c r="W92" i="9"/>
  <c r="AH91" i="9"/>
  <c r="AG91" i="9"/>
  <c r="AF91" i="9"/>
  <c r="AE91" i="9"/>
  <c r="AD91" i="9"/>
  <c r="AC91" i="9"/>
  <c r="AB91" i="9"/>
  <c r="AA91" i="9"/>
  <c r="Z91" i="9"/>
  <c r="Y91" i="9"/>
  <c r="X91" i="9"/>
  <c r="W91" i="9"/>
  <c r="AH90" i="9"/>
  <c r="AG90" i="9"/>
  <c r="AF90" i="9"/>
  <c r="AE90" i="9"/>
  <c r="AD90" i="9"/>
  <c r="AC90" i="9"/>
  <c r="AB90" i="9"/>
  <c r="AA90" i="9"/>
  <c r="Z90" i="9"/>
  <c r="Y90" i="9"/>
  <c r="X90" i="9"/>
  <c r="W90" i="9"/>
  <c r="AH89" i="9"/>
  <c r="AG89" i="9"/>
  <c r="AF89" i="9"/>
  <c r="AE89" i="9"/>
  <c r="AD89" i="9"/>
  <c r="AC89" i="9"/>
  <c r="AB89" i="9"/>
  <c r="AA89" i="9"/>
  <c r="Z89" i="9"/>
  <c r="Y89" i="9"/>
  <c r="X89" i="9"/>
  <c r="W89" i="9"/>
  <c r="AH87" i="9"/>
  <c r="AG87" i="9"/>
  <c r="AF87" i="9"/>
  <c r="AE87" i="9"/>
  <c r="AD87" i="9"/>
  <c r="AC87" i="9"/>
  <c r="AB87" i="9"/>
  <c r="AA87" i="9"/>
  <c r="Z87" i="9"/>
  <c r="Y87" i="9"/>
  <c r="X87" i="9"/>
  <c r="W87" i="9"/>
  <c r="AH86" i="9"/>
  <c r="AG86" i="9"/>
  <c r="AF86" i="9"/>
  <c r="AE86" i="9"/>
  <c r="AD86" i="9"/>
  <c r="AC86" i="9"/>
  <c r="AB86" i="9"/>
  <c r="AA86" i="9"/>
  <c r="Z86" i="9"/>
  <c r="Y86" i="9"/>
  <c r="X86" i="9"/>
  <c r="W86" i="9"/>
  <c r="AH85" i="9"/>
  <c r="AG85" i="9"/>
  <c r="AF85" i="9"/>
  <c r="AE85" i="9"/>
  <c r="AD85" i="9"/>
  <c r="AC85" i="9"/>
  <c r="AB85" i="9"/>
  <c r="AA85" i="9"/>
  <c r="Z85" i="9"/>
  <c r="Y85" i="9"/>
  <c r="X85" i="9"/>
  <c r="W85" i="9"/>
  <c r="AH84" i="9"/>
  <c r="AG84" i="9"/>
  <c r="AF84" i="9"/>
  <c r="AE84" i="9"/>
  <c r="AD84" i="9"/>
  <c r="AC84" i="9"/>
  <c r="AB84" i="9"/>
  <c r="AA84" i="9"/>
  <c r="Z84" i="9"/>
  <c r="Y84" i="9"/>
  <c r="X84" i="9"/>
  <c r="W84" i="9"/>
  <c r="AH83" i="9"/>
  <c r="AG83" i="9"/>
  <c r="AF83" i="9"/>
  <c r="AE83" i="9"/>
  <c r="AD83" i="9"/>
  <c r="AC83" i="9"/>
  <c r="AB83" i="9"/>
  <c r="AA83" i="9"/>
  <c r="Z83" i="9"/>
  <c r="Y83" i="9"/>
  <c r="X83" i="9"/>
  <c r="W83" i="9"/>
  <c r="AH82" i="9"/>
  <c r="AG82" i="9"/>
  <c r="AF82" i="9"/>
  <c r="AE82" i="9"/>
  <c r="AD82" i="9"/>
  <c r="AC82" i="9"/>
  <c r="AB82" i="9"/>
  <c r="AA82" i="9"/>
  <c r="Z82" i="9"/>
  <c r="Y82" i="9"/>
  <c r="X82" i="9"/>
  <c r="W82" i="9"/>
  <c r="AH81" i="9"/>
  <c r="AG81" i="9"/>
  <c r="AF81" i="9"/>
  <c r="AE81" i="9"/>
  <c r="AD81" i="9"/>
  <c r="AC81" i="9"/>
  <c r="AB81" i="9"/>
  <c r="AA81" i="9"/>
  <c r="Z81" i="9"/>
  <c r="Y81" i="9"/>
  <c r="X81" i="9"/>
  <c r="W81" i="9"/>
  <c r="AH80" i="9"/>
  <c r="AG80" i="9"/>
  <c r="AF80" i="9"/>
  <c r="AE80" i="9"/>
  <c r="AD80" i="9"/>
  <c r="AC80" i="9"/>
  <c r="AB80" i="9"/>
  <c r="AA80" i="9"/>
  <c r="Z80" i="9"/>
  <c r="Y80" i="9"/>
  <c r="X80" i="9"/>
  <c r="W80" i="9"/>
  <c r="AH79" i="9"/>
  <c r="AG79" i="9"/>
  <c r="AF79" i="9"/>
  <c r="AE79" i="9"/>
  <c r="AD79" i="9"/>
  <c r="AC79" i="9"/>
  <c r="AB79" i="9"/>
  <c r="AA79" i="9"/>
  <c r="Z79" i="9"/>
  <c r="Y79" i="9"/>
  <c r="X79" i="9"/>
  <c r="W79" i="9"/>
  <c r="AH78" i="9"/>
  <c r="AG78" i="9"/>
  <c r="AF78" i="9"/>
  <c r="AE78" i="9"/>
  <c r="AD78" i="9"/>
  <c r="AC78" i="9"/>
  <c r="AB78" i="9"/>
  <c r="AA78" i="9"/>
  <c r="Z78" i="9"/>
  <c r="Y78" i="9"/>
  <c r="X78" i="9"/>
  <c r="W78" i="9"/>
  <c r="AH77" i="9"/>
  <c r="AG77" i="9"/>
  <c r="AF77" i="9"/>
  <c r="AE77" i="9"/>
  <c r="AD77" i="9"/>
  <c r="AC77" i="9"/>
  <c r="AB77" i="9"/>
  <c r="AA77" i="9"/>
  <c r="Z77" i="9"/>
  <c r="Y77" i="9"/>
  <c r="X77" i="9"/>
  <c r="W77" i="9"/>
  <c r="AH76" i="9"/>
  <c r="AG76" i="9"/>
  <c r="AF76" i="9"/>
  <c r="AE76" i="9"/>
  <c r="AD76" i="9"/>
  <c r="AC76" i="9"/>
  <c r="AB76" i="9"/>
  <c r="AA76" i="9"/>
  <c r="Z76" i="9"/>
  <c r="Y76" i="9"/>
  <c r="X76" i="9"/>
  <c r="W76" i="9"/>
  <c r="AH75" i="9"/>
  <c r="AG75" i="9"/>
  <c r="AF75" i="9"/>
  <c r="AE75" i="9"/>
  <c r="AD75" i="9"/>
  <c r="AC75" i="9"/>
  <c r="AB75" i="9"/>
  <c r="AA75" i="9"/>
  <c r="Z75" i="9"/>
  <c r="Y75" i="9"/>
  <c r="X75" i="9"/>
  <c r="W75" i="9"/>
  <c r="AH74" i="9"/>
  <c r="AG74" i="9"/>
  <c r="AF74" i="9"/>
  <c r="AE74" i="9"/>
  <c r="AD74" i="9"/>
  <c r="AC74" i="9"/>
  <c r="AB74" i="9"/>
  <c r="AA74" i="9"/>
  <c r="Z74" i="9"/>
  <c r="Y74" i="9"/>
  <c r="X74" i="9"/>
  <c r="W74" i="9"/>
  <c r="AH73" i="9"/>
  <c r="AG73" i="9"/>
  <c r="AF73" i="9"/>
  <c r="AE73" i="9"/>
  <c r="AD73" i="9"/>
  <c r="AC73" i="9"/>
  <c r="AB73" i="9"/>
  <c r="AA73" i="9"/>
  <c r="Z73" i="9"/>
  <c r="Y73" i="9"/>
  <c r="X73" i="9"/>
  <c r="W73" i="9"/>
  <c r="AH68" i="9"/>
  <c r="AG68" i="9"/>
  <c r="AF68" i="9"/>
  <c r="AE68" i="9"/>
  <c r="AD68" i="9"/>
  <c r="AC68" i="9"/>
  <c r="AB68" i="9"/>
  <c r="AA68" i="9"/>
  <c r="Z68" i="9"/>
  <c r="Y68" i="9"/>
  <c r="X68" i="9"/>
  <c r="W68" i="9"/>
  <c r="AH66" i="9"/>
  <c r="AG66" i="9"/>
  <c r="AF66" i="9"/>
  <c r="AE66" i="9"/>
  <c r="AD66" i="9"/>
  <c r="AC66" i="9"/>
  <c r="AB66" i="9"/>
  <c r="AA66" i="9"/>
  <c r="Z66" i="9"/>
  <c r="Y66" i="9"/>
  <c r="X66" i="9"/>
  <c r="W66" i="9"/>
  <c r="AH65" i="9"/>
  <c r="AG65" i="9"/>
  <c r="AF65" i="9"/>
  <c r="AE65" i="9"/>
  <c r="AD65" i="9"/>
  <c r="AC65" i="9"/>
  <c r="AB65" i="9"/>
  <c r="AA65" i="9"/>
  <c r="Z65" i="9"/>
  <c r="Y65" i="9"/>
  <c r="X65" i="9"/>
  <c r="W65" i="9"/>
  <c r="AH64" i="9"/>
  <c r="AG64" i="9"/>
  <c r="AF64" i="9"/>
  <c r="AE64" i="9"/>
  <c r="AD64" i="9"/>
  <c r="AC64" i="9"/>
  <c r="AB64" i="9"/>
  <c r="AA64" i="9"/>
  <c r="Z64" i="9"/>
  <c r="Y64" i="9"/>
  <c r="X64" i="9"/>
  <c r="W64" i="9"/>
  <c r="AH63" i="9"/>
  <c r="AG63" i="9"/>
  <c r="AF63" i="9"/>
  <c r="AE63" i="9"/>
  <c r="AD63" i="9"/>
  <c r="AC63" i="9"/>
  <c r="AB63" i="9"/>
  <c r="AA63" i="9"/>
  <c r="Z63" i="9"/>
  <c r="Y63" i="9"/>
  <c r="X63" i="9"/>
  <c r="W63" i="9"/>
  <c r="AH62" i="9"/>
  <c r="AG62" i="9"/>
  <c r="AF62" i="9"/>
  <c r="AE62" i="9"/>
  <c r="AD62" i="9"/>
  <c r="AC62" i="9"/>
  <c r="AB62" i="9"/>
  <c r="AA62" i="9"/>
  <c r="Z62" i="9"/>
  <c r="Y62" i="9"/>
  <c r="X62" i="9"/>
  <c r="W62" i="9"/>
  <c r="AH61" i="9"/>
  <c r="AG61" i="9"/>
  <c r="AF61" i="9"/>
  <c r="AE61" i="9"/>
  <c r="AD61" i="9"/>
  <c r="AC61" i="9"/>
  <c r="AB61" i="9"/>
  <c r="AA61" i="9"/>
  <c r="Z61" i="9"/>
  <c r="Y61" i="9"/>
  <c r="X61" i="9"/>
  <c r="W61" i="9"/>
  <c r="AH60" i="9"/>
  <c r="AG60" i="9"/>
  <c r="AF60" i="9"/>
  <c r="AE60" i="9"/>
  <c r="AD60" i="9"/>
  <c r="AC60" i="9"/>
  <c r="AB60" i="9"/>
  <c r="AA60" i="9"/>
  <c r="Z60" i="9"/>
  <c r="Y60" i="9"/>
  <c r="X60" i="9"/>
  <c r="W60" i="9"/>
  <c r="AH59" i="9"/>
  <c r="AG59" i="9"/>
  <c r="AF59" i="9"/>
  <c r="AE59" i="9"/>
  <c r="AD59" i="9"/>
  <c r="AC59" i="9"/>
  <c r="AB59" i="9"/>
  <c r="AA59" i="9"/>
  <c r="Z59" i="9"/>
  <c r="Y59" i="9"/>
  <c r="X59" i="9"/>
  <c r="W59" i="9"/>
  <c r="AH58" i="9"/>
  <c r="AG58" i="9"/>
  <c r="AF58" i="9"/>
  <c r="AE58" i="9"/>
  <c r="AD58" i="9"/>
  <c r="AC58" i="9"/>
  <c r="AB58" i="9"/>
  <c r="AA58" i="9"/>
  <c r="Z58" i="9"/>
  <c r="Y58" i="9"/>
  <c r="X58" i="9"/>
  <c r="W58" i="9"/>
  <c r="AH57" i="9"/>
  <c r="AG57" i="9"/>
  <c r="AF57" i="9"/>
  <c r="AE57" i="9"/>
  <c r="AD57" i="9"/>
  <c r="AC57" i="9"/>
  <c r="AB57" i="9"/>
  <c r="AA57" i="9"/>
  <c r="Z57" i="9"/>
  <c r="Y57" i="9"/>
  <c r="X57" i="9"/>
  <c r="W57" i="9"/>
  <c r="AH56" i="9"/>
  <c r="AG56" i="9"/>
  <c r="AF56" i="9"/>
  <c r="AE56" i="9"/>
  <c r="AD56" i="9"/>
  <c r="AC56" i="9"/>
  <c r="AB56" i="9"/>
  <c r="AA56" i="9"/>
  <c r="Z56" i="9"/>
  <c r="Y56" i="9"/>
  <c r="X56" i="9"/>
  <c r="W56" i="9"/>
  <c r="AH55" i="9"/>
  <c r="AG55" i="9"/>
  <c r="AF55" i="9"/>
  <c r="AE55" i="9"/>
  <c r="AD55" i="9"/>
  <c r="AC55" i="9"/>
  <c r="AB55" i="9"/>
  <c r="AA55" i="9"/>
  <c r="Z55" i="9"/>
  <c r="Y55" i="9"/>
  <c r="X55" i="9"/>
  <c r="W55" i="9"/>
  <c r="AH54" i="9"/>
  <c r="AG54" i="9"/>
  <c r="AF54" i="9"/>
  <c r="AE54" i="9"/>
  <c r="AD54" i="9"/>
  <c r="AC54" i="9"/>
  <c r="AB54" i="9"/>
  <c r="AA54" i="9"/>
  <c r="Z54" i="9"/>
  <c r="Y54" i="9"/>
  <c r="X54" i="9"/>
  <c r="W54" i="9"/>
  <c r="AH53" i="9"/>
  <c r="AG53" i="9"/>
  <c r="AF53" i="9"/>
  <c r="AE53" i="9"/>
  <c r="AD53" i="9"/>
  <c r="AC53" i="9"/>
  <c r="AB53" i="9"/>
  <c r="AA53" i="9"/>
  <c r="Z53" i="9"/>
  <c r="Y53" i="9"/>
  <c r="X53" i="9"/>
  <c r="W53" i="9"/>
  <c r="AH52" i="9"/>
  <c r="AG52" i="9"/>
  <c r="AF52" i="9"/>
  <c r="AE52" i="9"/>
  <c r="AD52" i="9"/>
  <c r="AC52" i="9"/>
  <c r="AB52" i="9"/>
  <c r="AA52" i="9"/>
  <c r="Z52" i="9"/>
  <c r="Y52" i="9"/>
  <c r="X52" i="9"/>
  <c r="W52" i="9"/>
  <c r="AH45" i="9"/>
  <c r="AG45" i="9"/>
  <c r="AF45" i="9"/>
  <c r="AE45" i="9"/>
  <c r="AD45" i="9"/>
  <c r="AC45" i="9"/>
  <c r="AB45" i="9"/>
  <c r="AA45" i="9"/>
  <c r="Z45" i="9"/>
  <c r="Y45" i="9"/>
  <c r="X45" i="9"/>
  <c r="W45" i="9"/>
  <c r="AH44" i="9"/>
  <c r="AG44" i="9"/>
  <c r="AF44" i="9"/>
  <c r="AE44" i="9"/>
  <c r="AD44" i="9"/>
  <c r="AC44" i="9"/>
  <c r="AB44" i="9"/>
  <c r="AA44" i="9"/>
  <c r="Z44" i="9"/>
  <c r="Y44" i="9"/>
  <c r="X44" i="9"/>
  <c r="W44" i="9"/>
  <c r="AH43" i="9"/>
  <c r="AG43" i="9"/>
  <c r="AF43" i="9"/>
  <c r="AE43" i="9"/>
  <c r="AD43" i="9"/>
  <c r="AC43" i="9"/>
  <c r="AB43" i="9"/>
  <c r="AA43" i="9"/>
  <c r="Z43" i="9"/>
  <c r="Y43" i="9"/>
  <c r="X43" i="9"/>
  <c r="W43" i="9"/>
  <c r="AH42" i="9"/>
  <c r="AG42" i="9"/>
  <c r="AF42" i="9"/>
  <c r="AE42" i="9"/>
  <c r="AD42" i="9"/>
  <c r="AC42" i="9"/>
  <c r="AB42" i="9"/>
  <c r="AA42" i="9"/>
  <c r="Z42" i="9"/>
  <c r="Y42" i="9"/>
  <c r="X42" i="9"/>
  <c r="W42" i="9"/>
  <c r="AH41" i="9"/>
  <c r="AG41" i="9"/>
  <c r="AF41" i="9"/>
  <c r="AE41" i="9"/>
  <c r="AD41" i="9"/>
  <c r="AC41" i="9"/>
  <c r="AB41" i="9"/>
  <c r="AA41" i="9"/>
  <c r="Z41" i="9"/>
  <c r="Y41" i="9"/>
  <c r="X41" i="9"/>
  <c r="W41" i="9"/>
  <c r="AH40" i="9"/>
  <c r="AG40" i="9"/>
  <c r="AF40" i="9"/>
  <c r="AE40" i="9"/>
  <c r="AD40" i="9"/>
  <c r="AC40" i="9"/>
  <c r="AB40" i="9"/>
  <c r="AA40" i="9"/>
  <c r="Z40" i="9"/>
  <c r="Y40" i="9"/>
  <c r="X40" i="9"/>
  <c r="W40" i="9"/>
  <c r="AH39" i="9"/>
  <c r="AG39" i="9"/>
  <c r="AF39" i="9"/>
  <c r="AE39" i="9"/>
  <c r="AD39" i="9"/>
  <c r="AC39" i="9"/>
  <c r="AB39" i="9"/>
  <c r="AA39" i="9"/>
  <c r="Z39" i="9"/>
  <c r="Y39" i="9"/>
  <c r="X39" i="9"/>
  <c r="W39" i="9"/>
  <c r="AH38" i="9"/>
  <c r="AG38" i="9"/>
  <c r="AF38" i="9"/>
  <c r="AE38" i="9"/>
  <c r="AD38" i="9"/>
  <c r="AC38" i="9"/>
  <c r="AB38" i="9"/>
  <c r="AA38" i="9"/>
  <c r="Z38" i="9"/>
  <c r="Y38" i="9"/>
  <c r="X38" i="9"/>
  <c r="W38" i="9"/>
  <c r="AH37" i="9"/>
  <c r="AG37" i="9"/>
  <c r="AF37" i="9"/>
  <c r="AE37" i="9"/>
  <c r="AD37" i="9"/>
  <c r="AC37" i="9"/>
  <c r="AB37" i="9"/>
  <c r="AA37" i="9"/>
  <c r="Z37" i="9"/>
  <c r="Y37" i="9"/>
  <c r="X37" i="9"/>
  <c r="W37" i="9"/>
  <c r="AH36" i="9"/>
  <c r="AG36" i="9"/>
  <c r="AF36" i="9"/>
  <c r="AE36" i="9"/>
  <c r="AD36" i="9"/>
  <c r="AC36" i="9"/>
  <c r="AB36" i="9"/>
  <c r="AA36" i="9"/>
  <c r="Z36" i="9"/>
  <c r="Y36" i="9"/>
  <c r="X36" i="9"/>
  <c r="W36" i="9"/>
  <c r="AH35" i="9"/>
  <c r="AG35" i="9"/>
  <c r="AF35" i="9"/>
  <c r="AE35" i="9"/>
  <c r="AD35" i="9"/>
  <c r="AC35" i="9"/>
  <c r="AB35" i="9"/>
  <c r="AA35" i="9"/>
  <c r="Z35" i="9"/>
  <c r="Y35" i="9"/>
  <c r="X35" i="9"/>
  <c r="W35" i="9"/>
  <c r="AH34" i="9"/>
  <c r="AG34" i="9"/>
  <c r="AF34" i="9"/>
  <c r="AE34" i="9"/>
  <c r="AD34" i="9"/>
  <c r="AC34" i="9"/>
  <c r="AB34" i="9"/>
  <c r="AA34" i="9"/>
  <c r="Z34" i="9"/>
  <c r="Y34" i="9"/>
  <c r="X34" i="9"/>
  <c r="W34" i="9"/>
  <c r="AH33" i="9"/>
  <c r="AG33" i="9"/>
  <c r="AF33" i="9"/>
  <c r="AE33" i="9"/>
  <c r="AD33" i="9"/>
  <c r="AC33" i="9"/>
  <c r="AB33" i="9"/>
  <c r="AA33" i="9"/>
  <c r="Z33" i="9"/>
  <c r="Y33" i="9"/>
  <c r="X33" i="9"/>
  <c r="W33" i="9"/>
  <c r="AH32" i="9"/>
  <c r="AG32" i="9"/>
  <c r="AF32" i="9"/>
  <c r="AE32" i="9"/>
  <c r="AD32" i="9"/>
  <c r="AC32" i="9"/>
  <c r="AB32" i="9"/>
  <c r="AA32" i="9"/>
  <c r="Z32" i="9"/>
  <c r="Y32" i="9"/>
  <c r="X32" i="9"/>
  <c r="W32" i="9"/>
  <c r="AH31" i="9"/>
  <c r="AG31" i="9"/>
  <c r="AF31" i="9"/>
  <c r="AE31" i="9"/>
  <c r="AD31" i="9"/>
  <c r="AC31" i="9"/>
  <c r="AB31" i="9"/>
  <c r="AA31" i="9"/>
  <c r="Z31" i="9"/>
  <c r="Y31" i="9"/>
  <c r="X31" i="9"/>
  <c r="W31" i="9"/>
  <c r="AH30" i="9"/>
  <c r="AG30" i="9"/>
  <c r="AF30" i="9"/>
  <c r="AE30" i="9"/>
  <c r="AD30" i="9"/>
  <c r="AC30" i="9"/>
  <c r="AB30" i="9"/>
  <c r="AA30" i="9"/>
  <c r="Z30" i="9"/>
  <c r="Y30" i="9"/>
  <c r="X30" i="9"/>
  <c r="W30" i="9"/>
  <c r="AH29" i="9"/>
  <c r="AG29" i="9"/>
  <c r="AF29" i="9"/>
  <c r="AE29" i="9"/>
  <c r="AD29" i="9"/>
  <c r="AC29" i="9"/>
  <c r="AB29" i="9"/>
  <c r="AA29" i="9"/>
  <c r="Z29" i="9"/>
  <c r="Y29" i="9"/>
  <c r="X29" i="9"/>
  <c r="W29" i="9"/>
  <c r="AH28" i="9"/>
  <c r="AG28" i="9"/>
  <c r="AF28" i="9"/>
  <c r="AE28" i="9"/>
  <c r="AD28" i="9"/>
  <c r="AC28" i="9"/>
  <c r="AB28" i="9"/>
  <c r="AA28" i="9"/>
  <c r="Z28" i="9"/>
  <c r="Y28" i="9"/>
  <c r="X28" i="9"/>
  <c r="W28" i="9"/>
  <c r="AH27" i="9"/>
  <c r="AG27" i="9"/>
  <c r="AF27" i="9"/>
  <c r="AE27" i="9"/>
  <c r="AD27" i="9"/>
  <c r="AC27" i="9"/>
  <c r="AB27" i="9"/>
  <c r="AA27" i="9"/>
  <c r="Z27" i="9"/>
  <c r="Y27" i="9"/>
  <c r="X27" i="9"/>
  <c r="W27" i="9"/>
  <c r="AH26" i="9"/>
  <c r="AG26" i="9"/>
  <c r="AF26" i="9"/>
  <c r="AE26" i="9"/>
  <c r="AD26" i="9"/>
  <c r="AC26" i="9"/>
  <c r="AB26" i="9"/>
  <c r="AA26" i="9"/>
  <c r="Z26" i="9"/>
  <c r="Y26" i="9"/>
  <c r="X26" i="9"/>
  <c r="W26" i="9"/>
  <c r="AH25" i="9"/>
  <c r="AG25" i="9"/>
  <c r="AF25" i="9"/>
  <c r="AE25" i="9"/>
  <c r="AD25" i="9"/>
  <c r="AC25" i="9"/>
  <c r="AB25" i="9"/>
  <c r="AA25" i="9"/>
  <c r="Z25" i="9"/>
  <c r="Y25" i="9"/>
  <c r="X25" i="9"/>
  <c r="W25" i="9"/>
  <c r="AH24" i="9"/>
  <c r="AG24" i="9"/>
  <c r="AF24" i="9"/>
  <c r="AE24" i="9"/>
  <c r="AD24" i="9"/>
  <c r="AC24" i="9"/>
  <c r="AB24" i="9"/>
  <c r="AA24" i="9"/>
  <c r="Z24" i="9"/>
  <c r="Y24" i="9"/>
  <c r="X24" i="9"/>
  <c r="W24" i="9"/>
  <c r="AH23" i="9"/>
  <c r="AG23" i="9"/>
  <c r="AF23" i="9"/>
  <c r="AE23" i="9"/>
  <c r="AD23" i="9"/>
  <c r="AC23" i="9"/>
  <c r="AB23" i="9"/>
  <c r="AA23" i="9"/>
  <c r="Z23" i="9"/>
  <c r="Y23" i="9"/>
  <c r="X23" i="9"/>
  <c r="W23" i="9"/>
  <c r="AH22" i="9"/>
  <c r="AG22" i="9"/>
  <c r="AF22" i="9"/>
  <c r="AE22" i="9"/>
  <c r="AD22" i="9"/>
  <c r="AC22" i="9"/>
  <c r="AB22" i="9"/>
  <c r="AA22" i="9"/>
  <c r="Z22" i="9"/>
  <c r="Y22" i="9"/>
  <c r="X22" i="9"/>
  <c r="W22" i="9"/>
  <c r="AH21" i="9"/>
  <c r="AG21" i="9"/>
  <c r="AF21" i="9"/>
  <c r="AE21" i="9"/>
  <c r="AD21" i="9"/>
  <c r="AC21" i="9"/>
  <c r="AB21" i="9"/>
  <c r="AA21" i="9"/>
  <c r="Z21" i="9"/>
  <c r="Y21" i="9"/>
  <c r="X21" i="9"/>
  <c r="W21" i="9"/>
  <c r="AH20" i="9"/>
  <c r="AG20" i="9"/>
  <c r="AF20" i="9"/>
  <c r="AE20" i="9"/>
  <c r="AD20" i="9"/>
  <c r="AC20" i="9"/>
  <c r="AB20" i="9"/>
  <c r="AA20" i="9"/>
  <c r="Z20" i="9"/>
  <c r="Y20" i="9"/>
  <c r="X20" i="9"/>
  <c r="W20" i="9"/>
  <c r="AH19" i="9"/>
  <c r="AG19" i="9"/>
  <c r="AF19" i="9"/>
  <c r="AE19" i="9"/>
  <c r="AD19" i="9"/>
  <c r="AC19" i="9"/>
  <c r="AB19" i="9"/>
  <c r="AA19" i="9"/>
  <c r="Z19" i="9"/>
  <c r="Y19" i="9"/>
  <c r="X19" i="9"/>
  <c r="W19" i="9"/>
  <c r="AH18" i="9"/>
  <c r="AG18" i="9"/>
  <c r="AF18" i="9"/>
  <c r="AE18" i="9"/>
  <c r="AD18" i="9"/>
  <c r="AC18" i="9"/>
  <c r="AB18" i="9"/>
  <c r="AA18" i="9"/>
  <c r="Z18" i="9"/>
  <c r="Y18" i="9"/>
  <c r="X18" i="9"/>
  <c r="W18" i="9"/>
  <c r="AH17" i="9"/>
  <c r="AG17" i="9"/>
  <c r="AF17" i="9"/>
  <c r="AE17" i="9"/>
  <c r="AD17" i="9"/>
  <c r="AC17" i="9"/>
  <c r="AB17" i="9"/>
  <c r="AA17" i="9"/>
  <c r="Z17" i="9"/>
  <c r="Y17" i="9"/>
  <c r="X17" i="9"/>
  <c r="W17" i="9"/>
  <c r="AH16" i="9"/>
  <c r="AG16" i="9"/>
  <c r="AF16" i="9"/>
  <c r="AE16" i="9"/>
  <c r="AD16" i="9"/>
  <c r="AC16" i="9"/>
  <c r="AB16" i="9"/>
  <c r="AA16" i="9"/>
  <c r="Z16" i="9"/>
  <c r="Y16" i="9"/>
  <c r="X16" i="9"/>
  <c r="W16" i="9"/>
  <c r="AH15" i="9"/>
  <c r="AG15" i="9"/>
  <c r="AF15" i="9"/>
  <c r="AE15" i="9"/>
  <c r="AD15" i="9"/>
  <c r="AC15" i="9"/>
  <c r="AB15" i="9"/>
  <c r="AA15" i="9"/>
  <c r="Z15" i="9"/>
  <c r="Y15" i="9"/>
  <c r="X15" i="9"/>
  <c r="W15" i="9"/>
  <c r="AH14" i="9"/>
  <c r="AG14" i="9"/>
  <c r="AF14" i="9"/>
  <c r="AE14" i="9"/>
  <c r="AD14" i="9"/>
  <c r="AC14" i="9"/>
  <c r="AB14" i="9"/>
  <c r="AA14" i="9"/>
  <c r="Z14" i="9"/>
  <c r="Y14" i="9"/>
  <c r="X14" i="9"/>
  <c r="W14" i="9"/>
  <c r="AH13" i="9"/>
  <c r="AG13" i="9"/>
  <c r="AF13" i="9"/>
  <c r="AE13" i="9"/>
  <c r="AD13" i="9"/>
  <c r="AC13" i="9"/>
  <c r="AB13" i="9"/>
  <c r="AA13" i="9"/>
  <c r="Z13" i="9"/>
  <c r="Y13" i="9"/>
  <c r="X13" i="9"/>
  <c r="W13" i="9"/>
  <c r="AG12" i="9"/>
  <c r="AH12" i="9"/>
  <c r="AF12" i="9"/>
  <c r="AA12" i="9"/>
  <c r="AB12" i="9"/>
  <c r="AC12" i="9"/>
  <c r="AD12" i="9"/>
  <c r="AE12" i="9"/>
  <c r="Z12" i="9"/>
  <c r="X12" i="9"/>
  <c r="Y12" i="9"/>
  <c r="AH226" i="7"/>
  <c r="AG226" i="7"/>
  <c r="AF226" i="7"/>
  <c r="AE226" i="7"/>
  <c r="AD226" i="7"/>
  <c r="AC226" i="7"/>
  <c r="AB226" i="7"/>
  <c r="AA226" i="7"/>
  <c r="Z226" i="7"/>
  <c r="Y226" i="7"/>
  <c r="X226" i="7"/>
  <c r="W226" i="7"/>
  <c r="AH225" i="7"/>
  <c r="AG225" i="7"/>
  <c r="AF225" i="7"/>
  <c r="AE225" i="7"/>
  <c r="AD225" i="7"/>
  <c r="AC225" i="7"/>
  <c r="AB225" i="7"/>
  <c r="AA225" i="7"/>
  <c r="Z225" i="7"/>
  <c r="Y225" i="7"/>
  <c r="X225" i="7"/>
  <c r="W225" i="7"/>
  <c r="AH224" i="7"/>
  <c r="AG224" i="7"/>
  <c r="AF224" i="7"/>
  <c r="AE224" i="7"/>
  <c r="AD224" i="7"/>
  <c r="AC224" i="7"/>
  <c r="AB224" i="7"/>
  <c r="AA224" i="7"/>
  <c r="Z224" i="7"/>
  <c r="Y224" i="7"/>
  <c r="X224" i="7"/>
  <c r="W224" i="7"/>
  <c r="AH223" i="7"/>
  <c r="AG223" i="7"/>
  <c r="AF223" i="7"/>
  <c r="AE223" i="7"/>
  <c r="AD223" i="7"/>
  <c r="AC223" i="7"/>
  <c r="AB223" i="7"/>
  <c r="AA223" i="7"/>
  <c r="Z223" i="7"/>
  <c r="Y223" i="7"/>
  <c r="X223" i="7"/>
  <c r="W223" i="7"/>
  <c r="AH218" i="7"/>
  <c r="AG218" i="7"/>
  <c r="AF218" i="7"/>
  <c r="AE218" i="7"/>
  <c r="AD218" i="7"/>
  <c r="AC218" i="7"/>
  <c r="AB218" i="7"/>
  <c r="AA218" i="7"/>
  <c r="Z218" i="7"/>
  <c r="Y218" i="7"/>
  <c r="X218" i="7"/>
  <c r="W218" i="7"/>
  <c r="AH217" i="7"/>
  <c r="AG217" i="7"/>
  <c r="AF217" i="7"/>
  <c r="AE217" i="7"/>
  <c r="AD217" i="7"/>
  <c r="AC217" i="7"/>
  <c r="AB217" i="7"/>
  <c r="AA217" i="7"/>
  <c r="Z217" i="7"/>
  <c r="Y217" i="7"/>
  <c r="X217" i="7"/>
  <c r="W217" i="7"/>
  <c r="AH216" i="7"/>
  <c r="AG216" i="7"/>
  <c r="AF216" i="7"/>
  <c r="AE216" i="7"/>
  <c r="AD216" i="7"/>
  <c r="AC216" i="7"/>
  <c r="AB216" i="7"/>
  <c r="AA216" i="7"/>
  <c r="Z216" i="7"/>
  <c r="Y216" i="7"/>
  <c r="X216" i="7"/>
  <c r="W216" i="7"/>
  <c r="AH215" i="7"/>
  <c r="AG215" i="7"/>
  <c r="AF215" i="7"/>
  <c r="AE215" i="7"/>
  <c r="AD215" i="7"/>
  <c r="AC215" i="7"/>
  <c r="AB215" i="7"/>
  <c r="AA215" i="7"/>
  <c r="Z215" i="7"/>
  <c r="Y215" i="7"/>
  <c r="X215" i="7"/>
  <c r="W215" i="7"/>
  <c r="AH214" i="7"/>
  <c r="AG214" i="7"/>
  <c r="AF214" i="7"/>
  <c r="AE214" i="7"/>
  <c r="AD214" i="7"/>
  <c r="AC214" i="7"/>
  <c r="AB214" i="7"/>
  <c r="AA214" i="7"/>
  <c r="Z214" i="7"/>
  <c r="Y214" i="7"/>
  <c r="X214" i="7"/>
  <c r="W214" i="7"/>
  <c r="AH213" i="7"/>
  <c r="AG213" i="7"/>
  <c r="AF213" i="7"/>
  <c r="AE213" i="7"/>
  <c r="AD213" i="7"/>
  <c r="AC213" i="7"/>
  <c r="AB213" i="7"/>
  <c r="AA213" i="7"/>
  <c r="Z213" i="7"/>
  <c r="Y213" i="7"/>
  <c r="X213" i="7"/>
  <c r="W213" i="7"/>
  <c r="AH212" i="7"/>
  <c r="AG212" i="7"/>
  <c r="AF212" i="7"/>
  <c r="AE212" i="7"/>
  <c r="AD212" i="7"/>
  <c r="AC212" i="7"/>
  <c r="AB212" i="7"/>
  <c r="AA212" i="7"/>
  <c r="Z212" i="7"/>
  <c r="Y212" i="7"/>
  <c r="X212" i="7"/>
  <c r="W212" i="7"/>
  <c r="AH211" i="7"/>
  <c r="AG211" i="7"/>
  <c r="AF211" i="7"/>
  <c r="AE211" i="7"/>
  <c r="AD211" i="7"/>
  <c r="AC211" i="7"/>
  <c r="AB211" i="7"/>
  <c r="AA211" i="7"/>
  <c r="Z211" i="7"/>
  <c r="Y211" i="7"/>
  <c r="X211" i="7"/>
  <c r="W211" i="7"/>
  <c r="AH210" i="7"/>
  <c r="AG210" i="7"/>
  <c r="AF210" i="7"/>
  <c r="AE210" i="7"/>
  <c r="AD210" i="7"/>
  <c r="AC210" i="7"/>
  <c r="AB210" i="7"/>
  <c r="AA210" i="7"/>
  <c r="Z210" i="7"/>
  <c r="Y210" i="7"/>
  <c r="X210" i="7"/>
  <c r="W210" i="7"/>
  <c r="AH209" i="7"/>
  <c r="AG209" i="7"/>
  <c r="AF209" i="7"/>
  <c r="AE209" i="7"/>
  <c r="AD209" i="7"/>
  <c r="AC209" i="7"/>
  <c r="AB209" i="7"/>
  <c r="AA209" i="7"/>
  <c r="Z209" i="7"/>
  <c r="Y209" i="7"/>
  <c r="X209" i="7"/>
  <c r="W209" i="7"/>
  <c r="AH208" i="7"/>
  <c r="AG208" i="7"/>
  <c r="AF208" i="7"/>
  <c r="AE208" i="7"/>
  <c r="AD208" i="7"/>
  <c r="AC208" i="7"/>
  <c r="AB208" i="7"/>
  <c r="AA208" i="7"/>
  <c r="Z208" i="7"/>
  <c r="Y208" i="7"/>
  <c r="X208" i="7"/>
  <c r="W208" i="7"/>
  <c r="AH207" i="7"/>
  <c r="AG207" i="7"/>
  <c r="AF207" i="7"/>
  <c r="AE207" i="7"/>
  <c r="AD207" i="7"/>
  <c r="AC207" i="7"/>
  <c r="AB207" i="7"/>
  <c r="AA207" i="7"/>
  <c r="Z207" i="7"/>
  <c r="Y207" i="7"/>
  <c r="X207" i="7"/>
  <c r="W207" i="7"/>
  <c r="AH206" i="7"/>
  <c r="AG206" i="7"/>
  <c r="AF206" i="7"/>
  <c r="AE206" i="7"/>
  <c r="AD206" i="7"/>
  <c r="AC206" i="7"/>
  <c r="AB206" i="7"/>
  <c r="AA206" i="7"/>
  <c r="Z206" i="7"/>
  <c r="Y206" i="7"/>
  <c r="X206" i="7"/>
  <c r="W206" i="7"/>
  <c r="AH205" i="7"/>
  <c r="AG205" i="7"/>
  <c r="AF205" i="7"/>
  <c r="AE205" i="7"/>
  <c r="AD205" i="7"/>
  <c r="AC205" i="7"/>
  <c r="AB205" i="7"/>
  <c r="AA205" i="7"/>
  <c r="Z205" i="7"/>
  <c r="Y205" i="7"/>
  <c r="X205" i="7"/>
  <c r="W205" i="7"/>
  <c r="AH204" i="7"/>
  <c r="AG204" i="7"/>
  <c r="AF204" i="7"/>
  <c r="AE204" i="7"/>
  <c r="AD204" i="7"/>
  <c r="AC204" i="7"/>
  <c r="AB204" i="7"/>
  <c r="AA204" i="7"/>
  <c r="Z204" i="7"/>
  <c r="Y204" i="7"/>
  <c r="X204" i="7"/>
  <c r="W204" i="7"/>
  <c r="AH203" i="7"/>
  <c r="AG203" i="7"/>
  <c r="AF203" i="7"/>
  <c r="AE203" i="7"/>
  <c r="AD203" i="7"/>
  <c r="AC203" i="7"/>
  <c r="AB203" i="7"/>
  <c r="AA203" i="7"/>
  <c r="Z203" i="7"/>
  <c r="Y203" i="7"/>
  <c r="X203" i="7"/>
  <c r="W203" i="7"/>
  <c r="AH202" i="7"/>
  <c r="AG202" i="7"/>
  <c r="AF202" i="7"/>
  <c r="AE202" i="7"/>
  <c r="AD202" i="7"/>
  <c r="AC202" i="7"/>
  <c r="AB202" i="7"/>
  <c r="AA202" i="7"/>
  <c r="Z202" i="7"/>
  <c r="Y202" i="7"/>
  <c r="X202" i="7"/>
  <c r="W202" i="7"/>
  <c r="AH201" i="7"/>
  <c r="AG201" i="7"/>
  <c r="AF201" i="7"/>
  <c r="AE201" i="7"/>
  <c r="AD201" i="7"/>
  <c r="AC201" i="7"/>
  <c r="AB201" i="7"/>
  <c r="AA201" i="7"/>
  <c r="Z201" i="7"/>
  <c r="Y201" i="7"/>
  <c r="X201" i="7"/>
  <c r="W201" i="7"/>
  <c r="AH200" i="7"/>
  <c r="AG200" i="7"/>
  <c r="AF200" i="7"/>
  <c r="AE200" i="7"/>
  <c r="AD200" i="7"/>
  <c r="AC200" i="7"/>
  <c r="AB200" i="7"/>
  <c r="AA200" i="7"/>
  <c r="Z200" i="7"/>
  <c r="Y200" i="7"/>
  <c r="X200" i="7"/>
  <c r="W200" i="7"/>
  <c r="AH199" i="7"/>
  <c r="AG199" i="7"/>
  <c r="AF199" i="7"/>
  <c r="AE199" i="7"/>
  <c r="AD199" i="7"/>
  <c r="AC199" i="7"/>
  <c r="AB199" i="7"/>
  <c r="AA199" i="7"/>
  <c r="Z199" i="7"/>
  <c r="Y199" i="7"/>
  <c r="X199" i="7"/>
  <c r="W199" i="7"/>
  <c r="AH198" i="7"/>
  <c r="AG198" i="7"/>
  <c r="AF198" i="7"/>
  <c r="AE198" i="7"/>
  <c r="AD198" i="7"/>
  <c r="AC198" i="7"/>
  <c r="AB198" i="7"/>
  <c r="AA198" i="7"/>
  <c r="Z198" i="7"/>
  <c r="Y198" i="7"/>
  <c r="X198" i="7"/>
  <c r="W198" i="7"/>
  <c r="AH197" i="7"/>
  <c r="AG197" i="7"/>
  <c r="AF197" i="7"/>
  <c r="AE197" i="7"/>
  <c r="AD197" i="7"/>
  <c r="AC197" i="7"/>
  <c r="AB197" i="7"/>
  <c r="AA197" i="7"/>
  <c r="Z197" i="7"/>
  <c r="Y197" i="7"/>
  <c r="X197" i="7"/>
  <c r="W197" i="7"/>
  <c r="AH196" i="7"/>
  <c r="AG196" i="7"/>
  <c r="AF196" i="7"/>
  <c r="AE196" i="7"/>
  <c r="AD196" i="7"/>
  <c r="AC196" i="7"/>
  <c r="AB196" i="7"/>
  <c r="AA196" i="7"/>
  <c r="Z196" i="7"/>
  <c r="Y196" i="7"/>
  <c r="X196" i="7"/>
  <c r="W196" i="7"/>
  <c r="AH195" i="7"/>
  <c r="AG195" i="7"/>
  <c r="AF195" i="7"/>
  <c r="AE195" i="7"/>
  <c r="AD195" i="7"/>
  <c r="AC195" i="7"/>
  <c r="AB195" i="7"/>
  <c r="AA195" i="7"/>
  <c r="Z195" i="7"/>
  <c r="Y195" i="7"/>
  <c r="X195" i="7"/>
  <c r="W195" i="7"/>
  <c r="AH194" i="7"/>
  <c r="AG194" i="7"/>
  <c r="AF194" i="7"/>
  <c r="AE194" i="7"/>
  <c r="AD194" i="7"/>
  <c r="AC194" i="7"/>
  <c r="AB194" i="7"/>
  <c r="AA194" i="7"/>
  <c r="Z194" i="7"/>
  <c r="Y194" i="7"/>
  <c r="X194" i="7"/>
  <c r="W194" i="7"/>
  <c r="AH193" i="7"/>
  <c r="AG193" i="7"/>
  <c r="AF193" i="7"/>
  <c r="AE193" i="7"/>
  <c r="AD193" i="7"/>
  <c r="AC193" i="7"/>
  <c r="AB193" i="7"/>
  <c r="AA193" i="7"/>
  <c r="Z193" i="7"/>
  <c r="Y193" i="7"/>
  <c r="X193" i="7"/>
  <c r="W193" i="7"/>
  <c r="AH192" i="7"/>
  <c r="AG192" i="7"/>
  <c r="AF192" i="7"/>
  <c r="AE192" i="7"/>
  <c r="AD192" i="7"/>
  <c r="AC192" i="7"/>
  <c r="AB192" i="7"/>
  <c r="AA192" i="7"/>
  <c r="Z192" i="7"/>
  <c r="Y192" i="7"/>
  <c r="X192" i="7"/>
  <c r="W192" i="7"/>
  <c r="AH191" i="7"/>
  <c r="AG191" i="7"/>
  <c r="AF191" i="7"/>
  <c r="AE191" i="7"/>
  <c r="AD191" i="7"/>
  <c r="AC191" i="7"/>
  <c r="AB191" i="7"/>
  <c r="AA191" i="7"/>
  <c r="Z191" i="7"/>
  <c r="Y191" i="7"/>
  <c r="X191" i="7"/>
  <c r="W191" i="7"/>
  <c r="AH190" i="7"/>
  <c r="AG190" i="7"/>
  <c r="AF190" i="7"/>
  <c r="AE190" i="7"/>
  <c r="AD190" i="7"/>
  <c r="AC190" i="7"/>
  <c r="AB190" i="7"/>
  <c r="AA190" i="7"/>
  <c r="Z190" i="7"/>
  <c r="Y190" i="7"/>
  <c r="X190" i="7"/>
  <c r="W190" i="7"/>
  <c r="AH189" i="7"/>
  <c r="AG189" i="7"/>
  <c r="AF189" i="7"/>
  <c r="AE189" i="7"/>
  <c r="AD189" i="7"/>
  <c r="AC189" i="7"/>
  <c r="AB189" i="7"/>
  <c r="AA189" i="7"/>
  <c r="Z189" i="7"/>
  <c r="Y189" i="7"/>
  <c r="X189" i="7"/>
  <c r="W189" i="7"/>
  <c r="AH188" i="7"/>
  <c r="AG188" i="7"/>
  <c r="AF188" i="7"/>
  <c r="AE188" i="7"/>
  <c r="AD188" i="7"/>
  <c r="AC188" i="7"/>
  <c r="AB188" i="7"/>
  <c r="AA188" i="7"/>
  <c r="Z188" i="7"/>
  <c r="Y188" i="7"/>
  <c r="X188" i="7"/>
  <c r="W188" i="7"/>
  <c r="AH187" i="7"/>
  <c r="AG187" i="7"/>
  <c r="AF187" i="7"/>
  <c r="AE187" i="7"/>
  <c r="AD187" i="7"/>
  <c r="AC187" i="7"/>
  <c r="AB187" i="7"/>
  <c r="AA187" i="7"/>
  <c r="Z187" i="7"/>
  <c r="Y187" i="7"/>
  <c r="X187" i="7"/>
  <c r="W187" i="7"/>
  <c r="AH186" i="7"/>
  <c r="AG186" i="7"/>
  <c r="AF186" i="7"/>
  <c r="AE186" i="7"/>
  <c r="AD186" i="7"/>
  <c r="AC186" i="7"/>
  <c r="AB186" i="7"/>
  <c r="AA186" i="7"/>
  <c r="Z186" i="7"/>
  <c r="Y186" i="7"/>
  <c r="X186" i="7"/>
  <c r="W186" i="7"/>
  <c r="AH185" i="7"/>
  <c r="AG185" i="7"/>
  <c r="AF185" i="7"/>
  <c r="AE185" i="7"/>
  <c r="AD185" i="7"/>
  <c r="AC185" i="7"/>
  <c r="AB185" i="7"/>
  <c r="AA185" i="7"/>
  <c r="Z185" i="7"/>
  <c r="Y185" i="7"/>
  <c r="X185" i="7"/>
  <c r="W185" i="7"/>
  <c r="AH178" i="7"/>
  <c r="AG178" i="7"/>
  <c r="AF178" i="7"/>
  <c r="AE178" i="7"/>
  <c r="AD178" i="7"/>
  <c r="AC178" i="7"/>
  <c r="AB178" i="7"/>
  <c r="AA178" i="7"/>
  <c r="Z178" i="7"/>
  <c r="Y178" i="7"/>
  <c r="X178" i="7"/>
  <c r="W178" i="7"/>
  <c r="AH174" i="7"/>
  <c r="AG174" i="7"/>
  <c r="AF174" i="7"/>
  <c r="AE174" i="7"/>
  <c r="AD174" i="7"/>
  <c r="AC174" i="7"/>
  <c r="AB174" i="7"/>
  <c r="AA174" i="7"/>
  <c r="Z174" i="7"/>
  <c r="Y174" i="7"/>
  <c r="X174" i="7"/>
  <c r="W174" i="7"/>
  <c r="AH173" i="7"/>
  <c r="AG173" i="7"/>
  <c r="AF173" i="7"/>
  <c r="AE173" i="7"/>
  <c r="AD173" i="7"/>
  <c r="AC173" i="7"/>
  <c r="AB173" i="7"/>
  <c r="AA173" i="7"/>
  <c r="Z173" i="7"/>
  <c r="Y173" i="7"/>
  <c r="X173" i="7"/>
  <c r="W173" i="7"/>
  <c r="AH172" i="7"/>
  <c r="AG172" i="7"/>
  <c r="AF172" i="7"/>
  <c r="AE172" i="7"/>
  <c r="AD172" i="7"/>
  <c r="AC172" i="7"/>
  <c r="AB172" i="7"/>
  <c r="AA172" i="7"/>
  <c r="Z172" i="7"/>
  <c r="Y172" i="7"/>
  <c r="X172" i="7"/>
  <c r="W172" i="7"/>
  <c r="AH171" i="7"/>
  <c r="AG171" i="7"/>
  <c r="AF171" i="7"/>
  <c r="AE171" i="7"/>
  <c r="AD171" i="7"/>
  <c r="AC171" i="7"/>
  <c r="AB171" i="7"/>
  <c r="AA171" i="7"/>
  <c r="Z171" i="7"/>
  <c r="Y171" i="7"/>
  <c r="X171" i="7"/>
  <c r="W171" i="7"/>
  <c r="AH170" i="7"/>
  <c r="AG170" i="7"/>
  <c r="AF170" i="7"/>
  <c r="AE170" i="7"/>
  <c r="AD170" i="7"/>
  <c r="AC170" i="7"/>
  <c r="AB170" i="7"/>
  <c r="AA170" i="7"/>
  <c r="Z170" i="7"/>
  <c r="Y170" i="7"/>
  <c r="X170" i="7"/>
  <c r="W170" i="7"/>
  <c r="AH169" i="7"/>
  <c r="AG169" i="7"/>
  <c r="AF169" i="7"/>
  <c r="AE169" i="7"/>
  <c r="AD169" i="7"/>
  <c r="AC169" i="7"/>
  <c r="AB169" i="7"/>
  <c r="AA169" i="7"/>
  <c r="Z169" i="7"/>
  <c r="Y169" i="7"/>
  <c r="X169" i="7"/>
  <c r="W169" i="7"/>
  <c r="AH168" i="7"/>
  <c r="AG168" i="7"/>
  <c r="AF168" i="7"/>
  <c r="AE168" i="7"/>
  <c r="AD168" i="7"/>
  <c r="AC168" i="7"/>
  <c r="AB168" i="7"/>
  <c r="AA168" i="7"/>
  <c r="Z168" i="7"/>
  <c r="Y168" i="7"/>
  <c r="X168" i="7"/>
  <c r="W168" i="7"/>
  <c r="AH167" i="7"/>
  <c r="AG167" i="7"/>
  <c r="AF167" i="7"/>
  <c r="AE167" i="7"/>
  <c r="AD167" i="7"/>
  <c r="AC167" i="7"/>
  <c r="AB167" i="7"/>
  <c r="AA167" i="7"/>
  <c r="Z167" i="7"/>
  <c r="Y167" i="7"/>
  <c r="X167" i="7"/>
  <c r="W167" i="7"/>
  <c r="AH166" i="7"/>
  <c r="AG166" i="7"/>
  <c r="AF166" i="7"/>
  <c r="AE166" i="7"/>
  <c r="AD166" i="7"/>
  <c r="AC166" i="7"/>
  <c r="AB166" i="7"/>
  <c r="AA166" i="7"/>
  <c r="Z166" i="7"/>
  <c r="Y166" i="7"/>
  <c r="X166" i="7"/>
  <c r="W166" i="7"/>
  <c r="AH165" i="7"/>
  <c r="AG165" i="7"/>
  <c r="AF165" i="7"/>
  <c r="AE165" i="7"/>
  <c r="AD165" i="7"/>
  <c r="AC165" i="7"/>
  <c r="AB165" i="7"/>
  <c r="AA165" i="7"/>
  <c r="Z165" i="7"/>
  <c r="Y165" i="7"/>
  <c r="X165" i="7"/>
  <c r="W165" i="7"/>
  <c r="AH164" i="7"/>
  <c r="AG164" i="7"/>
  <c r="AF164" i="7"/>
  <c r="AE164" i="7"/>
  <c r="AD164" i="7"/>
  <c r="AC164" i="7"/>
  <c r="AB164" i="7"/>
  <c r="AA164" i="7"/>
  <c r="Z164" i="7"/>
  <c r="Y164" i="7"/>
  <c r="X164" i="7"/>
  <c r="W164" i="7"/>
  <c r="AH163" i="7"/>
  <c r="AG163" i="7"/>
  <c r="AF163" i="7"/>
  <c r="AE163" i="7"/>
  <c r="AD163" i="7"/>
  <c r="AC163" i="7"/>
  <c r="AB163" i="7"/>
  <c r="AA163" i="7"/>
  <c r="Z163" i="7"/>
  <c r="Y163" i="7"/>
  <c r="X163" i="7"/>
  <c r="W163" i="7"/>
  <c r="AH162" i="7"/>
  <c r="AG162" i="7"/>
  <c r="AF162" i="7"/>
  <c r="AE162" i="7"/>
  <c r="AD162" i="7"/>
  <c r="AC162" i="7"/>
  <c r="AB162" i="7"/>
  <c r="AA162" i="7"/>
  <c r="Z162" i="7"/>
  <c r="Y162" i="7"/>
  <c r="X162" i="7"/>
  <c r="W162" i="7"/>
  <c r="AH161" i="7"/>
  <c r="AG161" i="7"/>
  <c r="AF161" i="7"/>
  <c r="AE161" i="7"/>
  <c r="AD161" i="7"/>
  <c r="AC161" i="7"/>
  <c r="AB161" i="7"/>
  <c r="AA161" i="7"/>
  <c r="Z161" i="7"/>
  <c r="Y161" i="7"/>
  <c r="X161" i="7"/>
  <c r="W161" i="7"/>
  <c r="AH160" i="7"/>
  <c r="AG160" i="7"/>
  <c r="AF160" i="7"/>
  <c r="AE160" i="7"/>
  <c r="AD160" i="7"/>
  <c r="AC160" i="7"/>
  <c r="AB160" i="7"/>
  <c r="AA160" i="7"/>
  <c r="Z160" i="7"/>
  <c r="Y160" i="7"/>
  <c r="X160" i="7"/>
  <c r="W160" i="7"/>
  <c r="AH159" i="7"/>
  <c r="AG159" i="7"/>
  <c r="AF159" i="7"/>
  <c r="AE159" i="7"/>
  <c r="AD159" i="7"/>
  <c r="AC159" i="7"/>
  <c r="AB159" i="7"/>
  <c r="AA159" i="7"/>
  <c r="Z159" i="7"/>
  <c r="Y159" i="7"/>
  <c r="X159" i="7"/>
  <c r="W159" i="7"/>
  <c r="AH158" i="7"/>
  <c r="AG158" i="7"/>
  <c r="AF158" i="7"/>
  <c r="AE158" i="7"/>
  <c r="AD158" i="7"/>
  <c r="AC158" i="7"/>
  <c r="AB158" i="7"/>
  <c r="AA158" i="7"/>
  <c r="Z158" i="7"/>
  <c r="Y158" i="7"/>
  <c r="X158" i="7"/>
  <c r="W158" i="7"/>
  <c r="AH157" i="7"/>
  <c r="AG157" i="7"/>
  <c r="AF157" i="7"/>
  <c r="AE157" i="7"/>
  <c r="AD157" i="7"/>
  <c r="AC157" i="7"/>
  <c r="AB157" i="7"/>
  <c r="AA157" i="7"/>
  <c r="Z157" i="7"/>
  <c r="Y157" i="7"/>
  <c r="X157" i="7"/>
  <c r="W157" i="7"/>
  <c r="AH156" i="7"/>
  <c r="AG156" i="7"/>
  <c r="AF156" i="7"/>
  <c r="AE156" i="7"/>
  <c r="AD156" i="7"/>
  <c r="AC156" i="7"/>
  <c r="AB156" i="7"/>
  <c r="AA156" i="7"/>
  <c r="Z156" i="7"/>
  <c r="Y156" i="7"/>
  <c r="X156" i="7"/>
  <c r="W156" i="7"/>
  <c r="AH155" i="7"/>
  <c r="AG155" i="7"/>
  <c r="AF155" i="7"/>
  <c r="AE155" i="7"/>
  <c r="AD155" i="7"/>
  <c r="AC155" i="7"/>
  <c r="AB155" i="7"/>
  <c r="AA155" i="7"/>
  <c r="Z155" i="7"/>
  <c r="Y155" i="7"/>
  <c r="X155" i="7"/>
  <c r="W155" i="7"/>
  <c r="AH154" i="7"/>
  <c r="AG154" i="7"/>
  <c r="AF154" i="7"/>
  <c r="AE154" i="7"/>
  <c r="AD154" i="7"/>
  <c r="AC154" i="7"/>
  <c r="AB154" i="7"/>
  <c r="AA154" i="7"/>
  <c r="Z154" i="7"/>
  <c r="Y154" i="7"/>
  <c r="X154" i="7"/>
  <c r="W154" i="7"/>
  <c r="AH153" i="7"/>
  <c r="AG153" i="7"/>
  <c r="AF153" i="7"/>
  <c r="AE153" i="7"/>
  <c r="AD153" i="7"/>
  <c r="AC153" i="7"/>
  <c r="AB153" i="7"/>
  <c r="AA153" i="7"/>
  <c r="Z153" i="7"/>
  <c r="Y153" i="7"/>
  <c r="X153" i="7"/>
  <c r="W153" i="7"/>
  <c r="AH152" i="7"/>
  <c r="AG152" i="7"/>
  <c r="AF152" i="7"/>
  <c r="AE152" i="7"/>
  <c r="AD152" i="7"/>
  <c r="AC152" i="7"/>
  <c r="AB152" i="7"/>
  <c r="AA152" i="7"/>
  <c r="Z152" i="7"/>
  <c r="Y152" i="7"/>
  <c r="X152" i="7"/>
  <c r="W152" i="7"/>
  <c r="AH151" i="7"/>
  <c r="AG151" i="7"/>
  <c r="AF151" i="7"/>
  <c r="AE151" i="7"/>
  <c r="AD151" i="7"/>
  <c r="AC151" i="7"/>
  <c r="AB151" i="7"/>
  <c r="AA151" i="7"/>
  <c r="Z151" i="7"/>
  <c r="Y151" i="7"/>
  <c r="X151" i="7"/>
  <c r="W151" i="7"/>
  <c r="AH150" i="7"/>
  <c r="AG150" i="7"/>
  <c r="AF150" i="7"/>
  <c r="AE150" i="7"/>
  <c r="AD150" i="7"/>
  <c r="AC150" i="7"/>
  <c r="AB150" i="7"/>
  <c r="AA150" i="7"/>
  <c r="Z150" i="7"/>
  <c r="Y150" i="7"/>
  <c r="X150" i="7"/>
  <c r="W150" i="7"/>
  <c r="AH149" i="7"/>
  <c r="AG149" i="7"/>
  <c r="AF149" i="7"/>
  <c r="AE149" i="7"/>
  <c r="AD149" i="7"/>
  <c r="AC149" i="7"/>
  <c r="AB149" i="7"/>
  <c r="AA149" i="7"/>
  <c r="Z149" i="7"/>
  <c r="Y149" i="7"/>
  <c r="X149" i="7"/>
  <c r="W149" i="7"/>
  <c r="AH148" i="7"/>
  <c r="AG148" i="7"/>
  <c r="AF148" i="7"/>
  <c r="AE148" i="7"/>
  <c r="AD148" i="7"/>
  <c r="AC148" i="7"/>
  <c r="AB148" i="7"/>
  <c r="AA148" i="7"/>
  <c r="Z148" i="7"/>
  <c r="Y148" i="7"/>
  <c r="X148" i="7"/>
  <c r="W148" i="7"/>
  <c r="AH147" i="7"/>
  <c r="AG147" i="7"/>
  <c r="AF147" i="7"/>
  <c r="AE147" i="7"/>
  <c r="AD147" i="7"/>
  <c r="AC147" i="7"/>
  <c r="AB147" i="7"/>
  <c r="AA147" i="7"/>
  <c r="Z147" i="7"/>
  <c r="Y147" i="7"/>
  <c r="X147" i="7"/>
  <c r="W147" i="7"/>
  <c r="AH146" i="7"/>
  <c r="AG146" i="7"/>
  <c r="AF146" i="7"/>
  <c r="AE146" i="7"/>
  <c r="AD146" i="7"/>
  <c r="AC146" i="7"/>
  <c r="AB146" i="7"/>
  <c r="AA146" i="7"/>
  <c r="Z146" i="7"/>
  <c r="Y146" i="7"/>
  <c r="X146" i="7"/>
  <c r="W146" i="7"/>
  <c r="AH145" i="7"/>
  <c r="AG145" i="7"/>
  <c r="AF145" i="7"/>
  <c r="AE145" i="7"/>
  <c r="AD145" i="7"/>
  <c r="AC145" i="7"/>
  <c r="AB145" i="7"/>
  <c r="AA145" i="7"/>
  <c r="Z145" i="7"/>
  <c r="Y145" i="7"/>
  <c r="X145" i="7"/>
  <c r="W145" i="7"/>
  <c r="AH144" i="7"/>
  <c r="AG144" i="7"/>
  <c r="AF144" i="7"/>
  <c r="AE144" i="7"/>
  <c r="AD144" i="7"/>
  <c r="AC144" i="7"/>
  <c r="AB144" i="7"/>
  <c r="AA144" i="7"/>
  <c r="Z144" i="7"/>
  <c r="Y144" i="7"/>
  <c r="X144" i="7"/>
  <c r="W144" i="7"/>
  <c r="AH143" i="7"/>
  <c r="AG143" i="7"/>
  <c r="AF143" i="7"/>
  <c r="AE143" i="7"/>
  <c r="AD143" i="7"/>
  <c r="AC143" i="7"/>
  <c r="AB143" i="7"/>
  <c r="AA143" i="7"/>
  <c r="Z143" i="7"/>
  <c r="Y143" i="7"/>
  <c r="X143" i="7"/>
  <c r="W143" i="7"/>
  <c r="AH142" i="7"/>
  <c r="AG142" i="7"/>
  <c r="AF142" i="7"/>
  <c r="AE142" i="7"/>
  <c r="AD142" i="7"/>
  <c r="AC142" i="7"/>
  <c r="AB142" i="7"/>
  <c r="AA142" i="7"/>
  <c r="Z142" i="7"/>
  <c r="Y142" i="7"/>
  <c r="X142" i="7"/>
  <c r="W142" i="7"/>
  <c r="AH141" i="7"/>
  <c r="AG141" i="7"/>
  <c r="AF141" i="7"/>
  <c r="AE141" i="7"/>
  <c r="AD141" i="7"/>
  <c r="AC141" i="7"/>
  <c r="AB141" i="7"/>
  <c r="AA141" i="7"/>
  <c r="Z141" i="7"/>
  <c r="Y141" i="7"/>
  <c r="X141" i="7"/>
  <c r="W141" i="7"/>
  <c r="AH140" i="7"/>
  <c r="AG140" i="7"/>
  <c r="AF140" i="7"/>
  <c r="AE140" i="7"/>
  <c r="AD140" i="7"/>
  <c r="AC140" i="7"/>
  <c r="AB140" i="7"/>
  <c r="AA140" i="7"/>
  <c r="Z140" i="7"/>
  <c r="Y140" i="7"/>
  <c r="X140" i="7"/>
  <c r="W140" i="7"/>
  <c r="AH139" i="7"/>
  <c r="AG139" i="7"/>
  <c r="AF139" i="7"/>
  <c r="AE139" i="7"/>
  <c r="AD139" i="7"/>
  <c r="AC139" i="7"/>
  <c r="AB139" i="7"/>
  <c r="AA139" i="7"/>
  <c r="Z139" i="7"/>
  <c r="Y139" i="7"/>
  <c r="X139" i="7"/>
  <c r="W139" i="7"/>
  <c r="AH138" i="7"/>
  <c r="AG138" i="7"/>
  <c r="AF138" i="7"/>
  <c r="AE138" i="7"/>
  <c r="AD138" i="7"/>
  <c r="AC138" i="7"/>
  <c r="AB138" i="7"/>
  <c r="AA138" i="7"/>
  <c r="Z138" i="7"/>
  <c r="Y138" i="7"/>
  <c r="X138" i="7"/>
  <c r="W138" i="7"/>
  <c r="AH137" i="7"/>
  <c r="AG137" i="7"/>
  <c r="AF137" i="7"/>
  <c r="AE137" i="7"/>
  <c r="AD137" i="7"/>
  <c r="AC137" i="7"/>
  <c r="AB137" i="7"/>
  <c r="AA137" i="7"/>
  <c r="Z137" i="7"/>
  <c r="Y137" i="7"/>
  <c r="X137" i="7"/>
  <c r="W137" i="7"/>
  <c r="AH136" i="7"/>
  <c r="AG136" i="7"/>
  <c r="AF136" i="7"/>
  <c r="AE136" i="7"/>
  <c r="AD136" i="7"/>
  <c r="AC136" i="7"/>
  <c r="AB136" i="7"/>
  <c r="AA136" i="7"/>
  <c r="Z136" i="7"/>
  <c r="Y136" i="7"/>
  <c r="X136" i="7"/>
  <c r="W136" i="7"/>
  <c r="AH135" i="7"/>
  <c r="AG135" i="7"/>
  <c r="AF135" i="7"/>
  <c r="AE135" i="7"/>
  <c r="AD135" i="7"/>
  <c r="AC135" i="7"/>
  <c r="AB135" i="7"/>
  <c r="AA135" i="7"/>
  <c r="Z135" i="7"/>
  <c r="Y135" i="7"/>
  <c r="X135" i="7"/>
  <c r="W135" i="7"/>
  <c r="AH134" i="7"/>
  <c r="AG134" i="7"/>
  <c r="AF134" i="7"/>
  <c r="AE134" i="7"/>
  <c r="AD134" i="7"/>
  <c r="AC134" i="7"/>
  <c r="AB134" i="7"/>
  <c r="AA134" i="7"/>
  <c r="Z134" i="7"/>
  <c r="Y134" i="7"/>
  <c r="X134" i="7"/>
  <c r="W134" i="7"/>
  <c r="AH133" i="7"/>
  <c r="AG133" i="7"/>
  <c r="AF133" i="7"/>
  <c r="AE133" i="7"/>
  <c r="AD133" i="7"/>
  <c r="AC133" i="7"/>
  <c r="AB133" i="7"/>
  <c r="AA133" i="7"/>
  <c r="Z133" i="7"/>
  <c r="Y133" i="7"/>
  <c r="X133" i="7"/>
  <c r="W133" i="7"/>
  <c r="AH132" i="7"/>
  <c r="AG132" i="7"/>
  <c r="AF132" i="7"/>
  <c r="AE132" i="7"/>
  <c r="AD132" i="7"/>
  <c r="AC132" i="7"/>
  <c r="AB132" i="7"/>
  <c r="AA132" i="7"/>
  <c r="Z132" i="7"/>
  <c r="Y132" i="7"/>
  <c r="X132" i="7"/>
  <c r="W132" i="7"/>
  <c r="AH131" i="7"/>
  <c r="AG131" i="7"/>
  <c r="AF131" i="7"/>
  <c r="AE131" i="7"/>
  <c r="AD131" i="7"/>
  <c r="AC131" i="7"/>
  <c r="AB131" i="7"/>
  <c r="AA131" i="7"/>
  <c r="Z131" i="7"/>
  <c r="Y131" i="7"/>
  <c r="X131" i="7"/>
  <c r="W131" i="7"/>
  <c r="AH130" i="7"/>
  <c r="AG130" i="7"/>
  <c r="AF130" i="7"/>
  <c r="AE130" i="7"/>
  <c r="AD130" i="7"/>
  <c r="AC130" i="7"/>
  <c r="AB130" i="7"/>
  <c r="AA130" i="7"/>
  <c r="Z130" i="7"/>
  <c r="Y130" i="7"/>
  <c r="X130" i="7"/>
  <c r="W130" i="7"/>
  <c r="AH129" i="7"/>
  <c r="AG129" i="7"/>
  <c r="AF129" i="7"/>
  <c r="AE129" i="7"/>
  <c r="AD129" i="7"/>
  <c r="AC129" i="7"/>
  <c r="AB129" i="7"/>
  <c r="AA129" i="7"/>
  <c r="Z129" i="7"/>
  <c r="Y129" i="7"/>
  <c r="X129" i="7"/>
  <c r="W129" i="7"/>
  <c r="AH128" i="7"/>
  <c r="AG128" i="7"/>
  <c r="AF128" i="7"/>
  <c r="AE128" i="7"/>
  <c r="AD128" i="7"/>
  <c r="AC128" i="7"/>
  <c r="AB128" i="7"/>
  <c r="AA128" i="7"/>
  <c r="Z128" i="7"/>
  <c r="Y128" i="7"/>
  <c r="X128" i="7"/>
  <c r="W128" i="7"/>
  <c r="AH127" i="7"/>
  <c r="AG127" i="7"/>
  <c r="AF127" i="7"/>
  <c r="AE127" i="7"/>
  <c r="AD127" i="7"/>
  <c r="AC127" i="7"/>
  <c r="AB127" i="7"/>
  <c r="AA127" i="7"/>
  <c r="Z127" i="7"/>
  <c r="Y127" i="7"/>
  <c r="X127" i="7"/>
  <c r="W127" i="7"/>
  <c r="AH126" i="7"/>
  <c r="AG126" i="7"/>
  <c r="AF126" i="7"/>
  <c r="AE126" i="7"/>
  <c r="AD126" i="7"/>
  <c r="AC126" i="7"/>
  <c r="AB126" i="7"/>
  <c r="AA126" i="7"/>
  <c r="Z126" i="7"/>
  <c r="Y126" i="7"/>
  <c r="X126" i="7"/>
  <c r="W126" i="7"/>
  <c r="AH121" i="7"/>
  <c r="AG121" i="7"/>
  <c r="AF121" i="7"/>
  <c r="AE121" i="7"/>
  <c r="AD121" i="7"/>
  <c r="AC121" i="7"/>
  <c r="AB121" i="7"/>
  <c r="AA121" i="7"/>
  <c r="Z121" i="7"/>
  <c r="Y121" i="7"/>
  <c r="X121" i="7"/>
  <c r="W121" i="7"/>
  <c r="AH120" i="7"/>
  <c r="AG120" i="7"/>
  <c r="AF120" i="7"/>
  <c r="AE120" i="7"/>
  <c r="AD120" i="7"/>
  <c r="AC120" i="7"/>
  <c r="AB120" i="7"/>
  <c r="AA120" i="7"/>
  <c r="Z120" i="7"/>
  <c r="Y120" i="7"/>
  <c r="X120" i="7"/>
  <c r="W120" i="7"/>
  <c r="AH119" i="7"/>
  <c r="AG119" i="7"/>
  <c r="AF119" i="7"/>
  <c r="AE119" i="7"/>
  <c r="AD119" i="7"/>
  <c r="AC119" i="7"/>
  <c r="AB119" i="7"/>
  <c r="AA119" i="7"/>
  <c r="Z119" i="7"/>
  <c r="Y119" i="7"/>
  <c r="X119" i="7"/>
  <c r="W119" i="7"/>
  <c r="AH118" i="7"/>
  <c r="AG118" i="7"/>
  <c r="AF118" i="7"/>
  <c r="AE118" i="7"/>
  <c r="AD118" i="7"/>
  <c r="AC118" i="7"/>
  <c r="AB118" i="7"/>
  <c r="AA118" i="7"/>
  <c r="Z118" i="7"/>
  <c r="Y118" i="7"/>
  <c r="X118" i="7"/>
  <c r="W118" i="7"/>
  <c r="AH117" i="7"/>
  <c r="AG117" i="7"/>
  <c r="AF117" i="7"/>
  <c r="AE117" i="7"/>
  <c r="AD117" i="7"/>
  <c r="AC117" i="7"/>
  <c r="AB117" i="7"/>
  <c r="AA117" i="7"/>
  <c r="Z117" i="7"/>
  <c r="Y117" i="7"/>
  <c r="X117" i="7"/>
  <c r="W117" i="7"/>
  <c r="AH116" i="7"/>
  <c r="AG116" i="7"/>
  <c r="AF116" i="7"/>
  <c r="AE116" i="7"/>
  <c r="AD116" i="7"/>
  <c r="AC116" i="7"/>
  <c r="AB116" i="7"/>
  <c r="AA116" i="7"/>
  <c r="Z116" i="7"/>
  <c r="Y116" i="7"/>
  <c r="X116" i="7"/>
  <c r="W116" i="7"/>
  <c r="AH115" i="7"/>
  <c r="AG115" i="7"/>
  <c r="AF115" i="7"/>
  <c r="AE115" i="7"/>
  <c r="AD115" i="7"/>
  <c r="AC115" i="7"/>
  <c r="AB115" i="7"/>
  <c r="AA115" i="7"/>
  <c r="Z115" i="7"/>
  <c r="Y115" i="7"/>
  <c r="X115" i="7"/>
  <c r="W115" i="7"/>
  <c r="AH114" i="7"/>
  <c r="AG114" i="7"/>
  <c r="AF114" i="7"/>
  <c r="AE114" i="7"/>
  <c r="AD114" i="7"/>
  <c r="AC114" i="7"/>
  <c r="AB114" i="7"/>
  <c r="AA114" i="7"/>
  <c r="Z114" i="7"/>
  <c r="Y114" i="7"/>
  <c r="X114" i="7"/>
  <c r="W114" i="7"/>
  <c r="AH113" i="7"/>
  <c r="AG113" i="7"/>
  <c r="AF113" i="7"/>
  <c r="AE113" i="7"/>
  <c r="AD113" i="7"/>
  <c r="AC113" i="7"/>
  <c r="AB113" i="7"/>
  <c r="AA113" i="7"/>
  <c r="Z113" i="7"/>
  <c r="Y113" i="7"/>
  <c r="X113" i="7"/>
  <c r="W113" i="7"/>
  <c r="AH112" i="7"/>
  <c r="AG112" i="7"/>
  <c r="AF112" i="7"/>
  <c r="AE112" i="7"/>
  <c r="AD112" i="7"/>
  <c r="AC112" i="7"/>
  <c r="AB112" i="7"/>
  <c r="AA112" i="7"/>
  <c r="Z112" i="7"/>
  <c r="Y112" i="7"/>
  <c r="X112" i="7"/>
  <c r="W112" i="7"/>
  <c r="AH111" i="7"/>
  <c r="AG111" i="7"/>
  <c r="AF111" i="7"/>
  <c r="AE111" i="7"/>
  <c r="AD111" i="7"/>
  <c r="AC111" i="7"/>
  <c r="AB111" i="7"/>
  <c r="AA111" i="7"/>
  <c r="Z111" i="7"/>
  <c r="Y111" i="7"/>
  <c r="X111" i="7"/>
  <c r="W111" i="7"/>
  <c r="AH110" i="7"/>
  <c r="AG110" i="7"/>
  <c r="AF110" i="7"/>
  <c r="AE110" i="7"/>
  <c r="AD110" i="7"/>
  <c r="AC110" i="7"/>
  <c r="AB110" i="7"/>
  <c r="AA110" i="7"/>
  <c r="Z110" i="7"/>
  <c r="Y110" i="7"/>
  <c r="X110" i="7"/>
  <c r="W110" i="7"/>
  <c r="AH109" i="7"/>
  <c r="AG109" i="7"/>
  <c r="AF109" i="7"/>
  <c r="AE109" i="7"/>
  <c r="AD109" i="7"/>
  <c r="AC109" i="7"/>
  <c r="AB109" i="7"/>
  <c r="AA109" i="7"/>
  <c r="Z109" i="7"/>
  <c r="Y109" i="7"/>
  <c r="X109" i="7"/>
  <c r="W109" i="7"/>
  <c r="AH108" i="7"/>
  <c r="AG108" i="7"/>
  <c r="AF108" i="7"/>
  <c r="AE108" i="7"/>
  <c r="AD108" i="7"/>
  <c r="AC108" i="7"/>
  <c r="AB108" i="7"/>
  <c r="AA108" i="7"/>
  <c r="Z108" i="7"/>
  <c r="Y108" i="7"/>
  <c r="X108" i="7"/>
  <c r="W108" i="7"/>
  <c r="AH107" i="7"/>
  <c r="AG107" i="7"/>
  <c r="AF107" i="7"/>
  <c r="AE107" i="7"/>
  <c r="AD107" i="7"/>
  <c r="AC107" i="7"/>
  <c r="AB107" i="7"/>
  <c r="AA107" i="7"/>
  <c r="Z107" i="7"/>
  <c r="Y107" i="7"/>
  <c r="X107" i="7"/>
  <c r="W107" i="7"/>
  <c r="AH106" i="7"/>
  <c r="AG106" i="7"/>
  <c r="AF106" i="7"/>
  <c r="AE106" i="7"/>
  <c r="AD106" i="7"/>
  <c r="AC106" i="7"/>
  <c r="AB106" i="7"/>
  <c r="AA106" i="7"/>
  <c r="Z106" i="7"/>
  <c r="Y106" i="7"/>
  <c r="X106" i="7"/>
  <c r="W106" i="7"/>
  <c r="AH105" i="7"/>
  <c r="AG105" i="7"/>
  <c r="AF105" i="7"/>
  <c r="AE105" i="7"/>
  <c r="AD105" i="7"/>
  <c r="AC105" i="7"/>
  <c r="AB105" i="7"/>
  <c r="AA105" i="7"/>
  <c r="Z105" i="7"/>
  <c r="Y105" i="7"/>
  <c r="X105" i="7"/>
  <c r="W105" i="7"/>
  <c r="AH104" i="7"/>
  <c r="AG104" i="7"/>
  <c r="AF104" i="7"/>
  <c r="AE104" i="7"/>
  <c r="AD104" i="7"/>
  <c r="AC104" i="7"/>
  <c r="AB104" i="7"/>
  <c r="AA104" i="7"/>
  <c r="Z104" i="7"/>
  <c r="Y104" i="7"/>
  <c r="X104" i="7"/>
  <c r="W104" i="7"/>
  <c r="AH103" i="7"/>
  <c r="AG103" i="7"/>
  <c r="AF103" i="7"/>
  <c r="AE103" i="7"/>
  <c r="AD103" i="7"/>
  <c r="AC103" i="7"/>
  <c r="AB103" i="7"/>
  <c r="AA103" i="7"/>
  <c r="Z103" i="7"/>
  <c r="Y103" i="7"/>
  <c r="X103" i="7"/>
  <c r="W103" i="7"/>
  <c r="AH102" i="7"/>
  <c r="AG102" i="7"/>
  <c r="AF102" i="7"/>
  <c r="AE102" i="7"/>
  <c r="AD102" i="7"/>
  <c r="AC102" i="7"/>
  <c r="AB102" i="7"/>
  <c r="AA102" i="7"/>
  <c r="Z102" i="7"/>
  <c r="Y102" i="7"/>
  <c r="X102" i="7"/>
  <c r="W102" i="7"/>
  <c r="AH101" i="7"/>
  <c r="AG101" i="7"/>
  <c r="AF101" i="7"/>
  <c r="AE101" i="7"/>
  <c r="AD101" i="7"/>
  <c r="AC101" i="7"/>
  <c r="AB101" i="7"/>
  <c r="AA101" i="7"/>
  <c r="Z101" i="7"/>
  <c r="Y101" i="7"/>
  <c r="X101" i="7"/>
  <c r="W101" i="7"/>
  <c r="AH100" i="7"/>
  <c r="AG100" i="7"/>
  <c r="AF100" i="7"/>
  <c r="AE100" i="7"/>
  <c r="AD100" i="7"/>
  <c r="AC100" i="7"/>
  <c r="AB100" i="7"/>
  <c r="AA100" i="7"/>
  <c r="Z100" i="7"/>
  <c r="Y100" i="7"/>
  <c r="X100" i="7"/>
  <c r="W100" i="7"/>
  <c r="AH99" i="7"/>
  <c r="AG99" i="7"/>
  <c r="AF99" i="7"/>
  <c r="AE99" i="7"/>
  <c r="AD99" i="7"/>
  <c r="AC99" i="7"/>
  <c r="AB99" i="7"/>
  <c r="AA99" i="7"/>
  <c r="Z99" i="7"/>
  <c r="Y99" i="7"/>
  <c r="X99" i="7"/>
  <c r="W99" i="7"/>
  <c r="AH98" i="7"/>
  <c r="AG98" i="7"/>
  <c r="AF98" i="7"/>
  <c r="AE98" i="7"/>
  <c r="AD98" i="7"/>
  <c r="AC98" i="7"/>
  <c r="AB98" i="7"/>
  <c r="AA98" i="7"/>
  <c r="Z98" i="7"/>
  <c r="Y98" i="7"/>
  <c r="X98" i="7"/>
  <c r="W98" i="7"/>
  <c r="AH97" i="7"/>
  <c r="AG97" i="7"/>
  <c r="AF97" i="7"/>
  <c r="AE97" i="7"/>
  <c r="AD97" i="7"/>
  <c r="AC97" i="7"/>
  <c r="AB97" i="7"/>
  <c r="AA97" i="7"/>
  <c r="Z97" i="7"/>
  <c r="Y97" i="7"/>
  <c r="X97" i="7"/>
  <c r="W97" i="7"/>
  <c r="AH96" i="7"/>
  <c r="AG96" i="7"/>
  <c r="AF96" i="7"/>
  <c r="AE96" i="7"/>
  <c r="AD96" i="7"/>
  <c r="AC96" i="7"/>
  <c r="AB96" i="7"/>
  <c r="AA96" i="7"/>
  <c r="Z96" i="7"/>
  <c r="Y96" i="7"/>
  <c r="X96" i="7"/>
  <c r="W96" i="7"/>
  <c r="AH95" i="7"/>
  <c r="AG95" i="7"/>
  <c r="AF95" i="7"/>
  <c r="AE95" i="7"/>
  <c r="AD95" i="7"/>
  <c r="AC95" i="7"/>
  <c r="AB95" i="7"/>
  <c r="AA95" i="7"/>
  <c r="Z95" i="7"/>
  <c r="Y95" i="7"/>
  <c r="X95" i="7"/>
  <c r="W95" i="7"/>
  <c r="AH94" i="7"/>
  <c r="AG94" i="7"/>
  <c r="AF94" i="7"/>
  <c r="AE94" i="7"/>
  <c r="AD94" i="7"/>
  <c r="AC94" i="7"/>
  <c r="AB94" i="7"/>
  <c r="AA94" i="7"/>
  <c r="Z94" i="7"/>
  <c r="Y94" i="7"/>
  <c r="X94" i="7"/>
  <c r="W94" i="7"/>
  <c r="AH93" i="7"/>
  <c r="AG93" i="7"/>
  <c r="AF93" i="7"/>
  <c r="AE93" i="7"/>
  <c r="AD93" i="7"/>
  <c r="AC93" i="7"/>
  <c r="AB93" i="7"/>
  <c r="AA93" i="7"/>
  <c r="Z93" i="7"/>
  <c r="Y93" i="7"/>
  <c r="X93" i="7"/>
  <c r="W93" i="7"/>
  <c r="AH92" i="7"/>
  <c r="AG92" i="7"/>
  <c r="AF92" i="7"/>
  <c r="AE92" i="7"/>
  <c r="AD92" i="7"/>
  <c r="AC92" i="7"/>
  <c r="AB92" i="7"/>
  <c r="AA92" i="7"/>
  <c r="Z92" i="7"/>
  <c r="Y92" i="7"/>
  <c r="X92" i="7"/>
  <c r="W92" i="7"/>
  <c r="AH91" i="7"/>
  <c r="AG91" i="7"/>
  <c r="AF91" i="7"/>
  <c r="AE91" i="7"/>
  <c r="AD91" i="7"/>
  <c r="AC91" i="7"/>
  <c r="AB91" i="7"/>
  <c r="AA91" i="7"/>
  <c r="Z91" i="7"/>
  <c r="Y91" i="7"/>
  <c r="X91" i="7"/>
  <c r="W91" i="7"/>
  <c r="AH90" i="7"/>
  <c r="AG90" i="7"/>
  <c r="AF90" i="7"/>
  <c r="AE90" i="7"/>
  <c r="AD90" i="7"/>
  <c r="AC90" i="7"/>
  <c r="AB90" i="7"/>
  <c r="AA90" i="7"/>
  <c r="Z90" i="7"/>
  <c r="Y90" i="7"/>
  <c r="X90" i="7"/>
  <c r="W90" i="7"/>
  <c r="AH89" i="7"/>
  <c r="AG89" i="7"/>
  <c r="AF89" i="7"/>
  <c r="AE89" i="7"/>
  <c r="AD89" i="7"/>
  <c r="AC89" i="7"/>
  <c r="AB89" i="7"/>
  <c r="AA89" i="7"/>
  <c r="Z89" i="7"/>
  <c r="Y89" i="7"/>
  <c r="X89" i="7"/>
  <c r="W89" i="7"/>
  <c r="AH88" i="7"/>
  <c r="AG88" i="7"/>
  <c r="AF88" i="7"/>
  <c r="AE88" i="7"/>
  <c r="AD88" i="7"/>
  <c r="AC88" i="7"/>
  <c r="AB88" i="7"/>
  <c r="AA88" i="7"/>
  <c r="Z88" i="7"/>
  <c r="Y88" i="7"/>
  <c r="X88" i="7"/>
  <c r="W88" i="7"/>
  <c r="AH87" i="7"/>
  <c r="AG87" i="7"/>
  <c r="AF87" i="7"/>
  <c r="AE87" i="7"/>
  <c r="AD87" i="7"/>
  <c r="AC87" i="7"/>
  <c r="AB87" i="7"/>
  <c r="AA87" i="7"/>
  <c r="Z87" i="7"/>
  <c r="Y87" i="7"/>
  <c r="X87" i="7"/>
  <c r="W87" i="7"/>
  <c r="AH86" i="7"/>
  <c r="AG86" i="7"/>
  <c r="AF86" i="7"/>
  <c r="AE86" i="7"/>
  <c r="AD86" i="7"/>
  <c r="AC86" i="7"/>
  <c r="AB86" i="7"/>
  <c r="AA86" i="7"/>
  <c r="Z86" i="7"/>
  <c r="Y86" i="7"/>
  <c r="X86" i="7"/>
  <c r="W86" i="7"/>
  <c r="AH85" i="7"/>
  <c r="AG85" i="7"/>
  <c r="AF85" i="7"/>
  <c r="AE85" i="7"/>
  <c r="AD85" i="7"/>
  <c r="AC85" i="7"/>
  <c r="AB85" i="7"/>
  <c r="AA85" i="7"/>
  <c r="Z85" i="7"/>
  <c r="Y85" i="7"/>
  <c r="X85" i="7"/>
  <c r="W85" i="7"/>
  <c r="AH84" i="7"/>
  <c r="AG84" i="7"/>
  <c r="AF84" i="7"/>
  <c r="AE84" i="7"/>
  <c r="AD84" i="7"/>
  <c r="AC84" i="7"/>
  <c r="AB84" i="7"/>
  <c r="AA84" i="7"/>
  <c r="Z84" i="7"/>
  <c r="Y84" i="7"/>
  <c r="X84" i="7"/>
  <c r="W84" i="7"/>
  <c r="AH83" i="7"/>
  <c r="AG83" i="7"/>
  <c r="AF83" i="7"/>
  <c r="AE83" i="7"/>
  <c r="AD83" i="7"/>
  <c r="AC83" i="7"/>
  <c r="AB83" i="7"/>
  <c r="AA83" i="7"/>
  <c r="Z83" i="7"/>
  <c r="Y83" i="7"/>
  <c r="X83" i="7"/>
  <c r="W83" i="7"/>
  <c r="AH76" i="7"/>
  <c r="AG76" i="7"/>
  <c r="AF76" i="7"/>
  <c r="AE76" i="7"/>
  <c r="AD76" i="7"/>
  <c r="AC76" i="7"/>
  <c r="AB76" i="7"/>
  <c r="AA76" i="7"/>
  <c r="Z76" i="7"/>
  <c r="Y76" i="7"/>
  <c r="X76" i="7"/>
  <c r="W76" i="7"/>
  <c r="AH75" i="7"/>
  <c r="AG75" i="7"/>
  <c r="AF75" i="7"/>
  <c r="AE75" i="7"/>
  <c r="AD75" i="7"/>
  <c r="AC75" i="7"/>
  <c r="AB75" i="7"/>
  <c r="AA75" i="7"/>
  <c r="Z75" i="7"/>
  <c r="Y75" i="7"/>
  <c r="X75" i="7"/>
  <c r="W75" i="7"/>
  <c r="AH74" i="7"/>
  <c r="AG74" i="7"/>
  <c r="AF74" i="7"/>
  <c r="AE74" i="7"/>
  <c r="AD74" i="7"/>
  <c r="AC74" i="7"/>
  <c r="AB74" i="7"/>
  <c r="AA74" i="7"/>
  <c r="Z74" i="7"/>
  <c r="Y74" i="7"/>
  <c r="X74" i="7"/>
  <c r="W74" i="7"/>
  <c r="AH73" i="7"/>
  <c r="AG73" i="7"/>
  <c r="AF73" i="7"/>
  <c r="AE73" i="7"/>
  <c r="AD73" i="7"/>
  <c r="AC73" i="7"/>
  <c r="AB73" i="7"/>
  <c r="AA73" i="7"/>
  <c r="Z73" i="7"/>
  <c r="Y73" i="7"/>
  <c r="X73" i="7"/>
  <c r="W73" i="7"/>
  <c r="AH72" i="7"/>
  <c r="AG72" i="7"/>
  <c r="AF72" i="7"/>
  <c r="AE72" i="7"/>
  <c r="AD72" i="7"/>
  <c r="AC72" i="7"/>
  <c r="AB72" i="7"/>
  <c r="AA72" i="7"/>
  <c r="Z72" i="7"/>
  <c r="Y72" i="7"/>
  <c r="X72" i="7"/>
  <c r="W72" i="7"/>
  <c r="AH71" i="7"/>
  <c r="AG71" i="7"/>
  <c r="AF71" i="7"/>
  <c r="AE71" i="7"/>
  <c r="AD71" i="7"/>
  <c r="AC71" i="7"/>
  <c r="AB71" i="7"/>
  <c r="AA71" i="7"/>
  <c r="Z71" i="7"/>
  <c r="Y71" i="7"/>
  <c r="X71" i="7"/>
  <c r="W71" i="7"/>
  <c r="AH70" i="7"/>
  <c r="AG70" i="7"/>
  <c r="AF70" i="7"/>
  <c r="AE70" i="7"/>
  <c r="AD70" i="7"/>
  <c r="AC70" i="7"/>
  <c r="AB70" i="7"/>
  <c r="AA70" i="7"/>
  <c r="Z70" i="7"/>
  <c r="Y70" i="7"/>
  <c r="X70" i="7"/>
  <c r="W70" i="7"/>
  <c r="AH69" i="7"/>
  <c r="AG69" i="7"/>
  <c r="AF69" i="7"/>
  <c r="AE69" i="7"/>
  <c r="AD69" i="7"/>
  <c r="AC69" i="7"/>
  <c r="AB69" i="7"/>
  <c r="AA69" i="7"/>
  <c r="Z69" i="7"/>
  <c r="Y69" i="7"/>
  <c r="X69" i="7"/>
  <c r="W69" i="7"/>
  <c r="AH68" i="7"/>
  <c r="AG68" i="7"/>
  <c r="AF68" i="7"/>
  <c r="AE68" i="7"/>
  <c r="AD68" i="7"/>
  <c r="AC68" i="7"/>
  <c r="AB68" i="7"/>
  <c r="AA68" i="7"/>
  <c r="Z68" i="7"/>
  <c r="Y68" i="7"/>
  <c r="X68" i="7"/>
  <c r="W68" i="7"/>
  <c r="AH67" i="7"/>
  <c r="AG67" i="7"/>
  <c r="AF67" i="7"/>
  <c r="AE67" i="7"/>
  <c r="AD67" i="7"/>
  <c r="AC67" i="7"/>
  <c r="AB67" i="7"/>
  <c r="AA67" i="7"/>
  <c r="Z67" i="7"/>
  <c r="Y67" i="7"/>
  <c r="X67" i="7"/>
  <c r="W67" i="7"/>
  <c r="AH62" i="7"/>
  <c r="AG62" i="7"/>
  <c r="AF62" i="7"/>
  <c r="AE62" i="7"/>
  <c r="AD62" i="7"/>
  <c r="AC62" i="7"/>
  <c r="AB62" i="7"/>
  <c r="AA62" i="7"/>
  <c r="Z62" i="7"/>
  <c r="Y62" i="7"/>
  <c r="X62" i="7"/>
  <c r="W62" i="7"/>
  <c r="AH61" i="7"/>
  <c r="AG61" i="7"/>
  <c r="AF61" i="7"/>
  <c r="AE61" i="7"/>
  <c r="AD61" i="7"/>
  <c r="AC61" i="7"/>
  <c r="AB61" i="7"/>
  <c r="AA61" i="7"/>
  <c r="Z61" i="7"/>
  <c r="Y61" i="7"/>
  <c r="X61" i="7"/>
  <c r="W61" i="7"/>
  <c r="AH60" i="7"/>
  <c r="AG60" i="7"/>
  <c r="AF60" i="7"/>
  <c r="AE60" i="7"/>
  <c r="AD60" i="7"/>
  <c r="AC60" i="7"/>
  <c r="AB60" i="7"/>
  <c r="AA60" i="7"/>
  <c r="Z60" i="7"/>
  <c r="Y60" i="7"/>
  <c r="X60" i="7"/>
  <c r="W60" i="7"/>
  <c r="AH59" i="7"/>
  <c r="AG59" i="7"/>
  <c r="AF59" i="7"/>
  <c r="AE59" i="7"/>
  <c r="AD59" i="7"/>
  <c r="AC59" i="7"/>
  <c r="AB59" i="7"/>
  <c r="AA59" i="7"/>
  <c r="Z59" i="7"/>
  <c r="Y59" i="7"/>
  <c r="X59" i="7"/>
  <c r="W59" i="7"/>
  <c r="AH58" i="7"/>
  <c r="AG58" i="7"/>
  <c r="AF58" i="7"/>
  <c r="AE58" i="7"/>
  <c r="AD58" i="7"/>
  <c r="AC58" i="7"/>
  <c r="AB58" i="7"/>
  <c r="AA58" i="7"/>
  <c r="Z58" i="7"/>
  <c r="Y58" i="7"/>
  <c r="X58" i="7"/>
  <c r="W58" i="7"/>
  <c r="AH57" i="7"/>
  <c r="AG57" i="7"/>
  <c r="AF57" i="7"/>
  <c r="AE57" i="7"/>
  <c r="AD57" i="7"/>
  <c r="AC57" i="7"/>
  <c r="AB57" i="7"/>
  <c r="AA57" i="7"/>
  <c r="Z57" i="7"/>
  <c r="Y57" i="7"/>
  <c r="X57" i="7"/>
  <c r="W57" i="7"/>
  <c r="AH56" i="7"/>
  <c r="AG56" i="7"/>
  <c r="AF56" i="7"/>
  <c r="AE56" i="7"/>
  <c r="AD56" i="7"/>
  <c r="AC56" i="7"/>
  <c r="AB56" i="7"/>
  <c r="AA56" i="7"/>
  <c r="Z56" i="7"/>
  <c r="Y56" i="7"/>
  <c r="X56" i="7"/>
  <c r="W56" i="7"/>
  <c r="AH55" i="7"/>
  <c r="AG55" i="7"/>
  <c r="AF55" i="7"/>
  <c r="AE55" i="7"/>
  <c r="AD55" i="7"/>
  <c r="AC55" i="7"/>
  <c r="AB55" i="7"/>
  <c r="AA55" i="7"/>
  <c r="Z55" i="7"/>
  <c r="Y55" i="7"/>
  <c r="X55" i="7"/>
  <c r="W55" i="7"/>
  <c r="AH54" i="7"/>
  <c r="AG54" i="7"/>
  <c r="AF54" i="7"/>
  <c r="AE54" i="7"/>
  <c r="AD54" i="7"/>
  <c r="AC54" i="7"/>
  <c r="AB54" i="7"/>
  <c r="AA54" i="7"/>
  <c r="Z54" i="7"/>
  <c r="Y54" i="7"/>
  <c r="X54" i="7"/>
  <c r="W54" i="7"/>
  <c r="AH49" i="7"/>
  <c r="AG49" i="7"/>
  <c r="AF49" i="7"/>
  <c r="AE49" i="7"/>
  <c r="AD49" i="7"/>
  <c r="AC49" i="7"/>
  <c r="AB49" i="7"/>
  <c r="AA49" i="7"/>
  <c r="Z49" i="7"/>
  <c r="Y49" i="7"/>
  <c r="X49" i="7"/>
  <c r="W49" i="7"/>
  <c r="AH48" i="7"/>
  <c r="AG48" i="7"/>
  <c r="AF48" i="7"/>
  <c r="Y48" i="7"/>
  <c r="X48" i="7"/>
  <c r="W48" i="7"/>
  <c r="AH47" i="7"/>
  <c r="AG47" i="7"/>
  <c r="AF47" i="7"/>
  <c r="AE47" i="7"/>
  <c r="AD47" i="7"/>
  <c r="AC47" i="7"/>
  <c r="AB47" i="7"/>
  <c r="AA47" i="7"/>
  <c r="Z47" i="7"/>
  <c r="Y47" i="7"/>
  <c r="X47" i="7"/>
  <c r="W47" i="7"/>
  <c r="AH46" i="7"/>
  <c r="AG46" i="7"/>
  <c r="AF46" i="7"/>
  <c r="AE46" i="7"/>
  <c r="AD46" i="7"/>
  <c r="AC46" i="7"/>
  <c r="AB46" i="7"/>
  <c r="AA46" i="7"/>
  <c r="Z46" i="7"/>
  <c r="Y46" i="7"/>
  <c r="X46" i="7"/>
  <c r="W46" i="7"/>
  <c r="AH45" i="7"/>
  <c r="AG45" i="7"/>
  <c r="AF45" i="7"/>
  <c r="AE45" i="7"/>
  <c r="AD45" i="7"/>
  <c r="AC45" i="7"/>
  <c r="AB45" i="7"/>
  <c r="AA45" i="7"/>
  <c r="Z45" i="7"/>
  <c r="Y45" i="7"/>
  <c r="X45" i="7"/>
  <c r="W45" i="7"/>
  <c r="AH44" i="7"/>
  <c r="AG44" i="7"/>
  <c r="AF44" i="7"/>
  <c r="AE44" i="7"/>
  <c r="AD44" i="7"/>
  <c r="AC44" i="7"/>
  <c r="AB44" i="7"/>
  <c r="AA44" i="7"/>
  <c r="Z44" i="7"/>
  <c r="Y44" i="7"/>
  <c r="X44" i="7"/>
  <c r="W44" i="7"/>
  <c r="AH43" i="7"/>
  <c r="AG43" i="7"/>
  <c r="AF43" i="7"/>
  <c r="AE43" i="7"/>
  <c r="AD43" i="7"/>
  <c r="AC43" i="7"/>
  <c r="AB43" i="7"/>
  <c r="AA43" i="7"/>
  <c r="Z43" i="7"/>
  <c r="Y43" i="7"/>
  <c r="X43" i="7"/>
  <c r="W43" i="7"/>
  <c r="AH42" i="7"/>
  <c r="AG42" i="7"/>
  <c r="AF42" i="7"/>
  <c r="AE42" i="7"/>
  <c r="AD42" i="7"/>
  <c r="AC42" i="7"/>
  <c r="AB42" i="7"/>
  <c r="AA42" i="7"/>
  <c r="Z42" i="7"/>
  <c r="Y42" i="7"/>
  <c r="X42" i="7"/>
  <c r="W42" i="7"/>
  <c r="AH41" i="7"/>
  <c r="AG41" i="7"/>
  <c r="AF41" i="7"/>
  <c r="AE41" i="7"/>
  <c r="AD41" i="7"/>
  <c r="AC41" i="7"/>
  <c r="AB41" i="7"/>
  <c r="AA41" i="7"/>
  <c r="Z41" i="7"/>
  <c r="Y41" i="7"/>
  <c r="X41" i="7"/>
  <c r="W41" i="7"/>
  <c r="AH40" i="7"/>
  <c r="AG40" i="7"/>
  <c r="AF40" i="7"/>
  <c r="AE40" i="7"/>
  <c r="AD40" i="7"/>
  <c r="AC40" i="7"/>
  <c r="AB40" i="7"/>
  <c r="AA40" i="7"/>
  <c r="Z40" i="7"/>
  <c r="Y40" i="7"/>
  <c r="X40" i="7"/>
  <c r="W40" i="7"/>
  <c r="AH39" i="7"/>
  <c r="AG39" i="7"/>
  <c r="AF39" i="7"/>
  <c r="AE39" i="7"/>
  <c r="AD39" i="7"/>
  <c r="AC39" i="7"/>
  <c r="AB39" i="7"/>
  <c r="AA39" i="7"/>
  <c r="Z39" i="7"/>
  <c r="Y39" i="7"/>
  <c r="X39" i="7"/>
  <c r="W39" i="7"/>
  <c r="AH38" i="7"/>
  <c r="AG38" i="7"/>
  <c r="AF38" i="7"/>
  <c r="AE38" i="7"/>
  <c r="AD38" i="7"/>
  <c r="AC38" i="7"/>
  <c r="AB38" i="7"/>
  <c r="AA38" i="7"/>
  <c r="Z38" i="7"/>
  <c r="Y38" i="7"/>
  <c r="X38" i="7"/>
  <c r="W38" i="7"/>
  <c r="AH37" i="7"/>
  <c r="AG37" i="7"/>
  <c r="AF37" i="7"/>
  <c r="AE37" i="7"/>
  <c r="AD37" i="7"/>
  <c r="AC37" i="7"/>
  <c r="AB37" i="7"/>
  <c r="AA37" i="7"/>
  <c r="Z37" i="7"/>
  <c r="Y37" i="7"/>
  <c r="X37" i="7"/>
  <c r="W37" i="7"/>
  <c r="AH36" i="7"/>
  <c r="AG36" i="7"/>
  <c r="AF36" i="7"/>
  <c r="AE36" i="7"/>
  <c r="AD36" i="7"/>
  <c r="AC36" i="7"/>
  <c r="AB36" i="7"/>
  <c r="AA36" i="7"/>
  <c r="Z36" i="7"/>
  <c r="Y36" i="7"/>
  <c r="X36" i="7"/>
  <c r="W36" i="7"/>
  <c r="AH35" i="7"/>
  <c r="AG35" i="7"/>
  <c r="AF35" i="7"/>
  <c r="AE35" i="7"/>
  <c r="AD35" i="7"/>
  <c r="AC35" i="7"/>
  <c r="AB35" i="7"/>
  <c r="AA35" i="7"/>
  <c r="Z35" i="7"/>
  <c r="Y35" i="7"/>
  <c r="X35" i="7"/>
  <c r="W35" i="7"/>
  <c r="AH34" i="7"/>
  <c r="AG34" i="7"/>
  <c r="AF34" i="7"/>
  <c r="AE34" i="7"/>
  <c r="AD34" i="7"/>
  <c r="AC34" i="7"/>
  <c r="AB34" i="7"/>
  <c r="AA34" i="7"/>
  <c r="Z34" i="7"/>
  <c r="Y34" i="7"/>
  <c r="X34" i="7"/>
  <c r="W34" i="7"/>
  <c r="AH33" i="7"/>
  <c r="AG33" i="7"/>
  <c r="AF33" i="7"/>
  <c r="AE33" i="7"/>
  <c r="AD33" i="7"/>
  <c r="AC33" i="7"/>
  <c r="AB33" i="7"/>
  <c r="AA33" i="7"/>
  <c r="Z33" i="7"/>
  <c r="Y33" i="7"/>
  <c r="X33" i="7"/>
  <c r="W33" i="7"/>
  <c r="AH32" i="7"/>
  <c r="AG32" i="7"/>
  <c r="AF32" i="7"/>
  <c r="AE32" i="7"/>
  <c r="AD32" i="7"/>
  <c r="AC32" i="7"/>
  <c r="AB32" i="7"/>
  <c r="AA32" i="7"/>
  <c r="Z32" i="7"/>
  <c r="Y32" i="7"/>
  <c r="X32" i="7"/>
  <c r="W32" i="7"/>
  <c r="AH31" i="7"/>
  <c r="AG31" i="7"/>
  <c r="AF31" i="7"/>
  <c r="AE31" i="7"/>
  <c r="AD31" i="7"/>
  <c r="AC31" i="7"/>
  <c r="AB31" i="7"/>
  <c r="AA31" i="7"/>
  <c r="Z31" i="7"/>
  <c r="Y31" i="7"/>
  <c r="X31" i="7"/>
  <c r="W31" i="7"/>
  <c r="AH30" i="7"/>
  <c r="AG30" i="7"/>
  <c r="AF30" i="7"/>
  <c r="AE30" i="7"/>
  <c r="AD30" i="7"/>
  <c r="AC30" i="7"/>
  <c r="AB30" i="7"/>
  <c r="AA30" i="7"/>
  <c r="Z30" i="7"/>
  <c r="Y30" i="7"/>
  <c r="X30" i="7"/>
  <c r="W30" i="7"/>
  <c r="AH29" i="7"/>
  <c r="AG29" i="7"/>
  <c r="AF29" i="7"/>
  <c r="AE29" i="7"/>
  <c r="AD29" i="7"/>
  <c r="AC29" i="7"/>
  <c r="AB29" i="7"/>
  <c r="AA29" i="7"/>
  <c r="Z29" i="7"/>
  <c r="Y29" i="7"/>
  <c r="X29" i="7"/>
  <c r="W29" i="7"/>
  <c r="AH28" i="7"/>
  <c r="AG28" i="7"/>
  <c r="AF28" i="7"/>
  <c r="AE28" i="7"/>
  <c r="AD28" i="7"/>
  <c r="AC28" i="7"/>
  <c r="AB28" i="7"/>
  <c r="AA28" i="7"/>
  <c r="Z28" i="7"/>
  <c r="Y28" i="7"/>
  <c r="X28" i="7"/>
  <c r="W28" i="7"/>
  <c r="AH27" i="7"/>
  <c r="AG27" i="7"/>
  <c r="AF27" i="7"/>
  <c r="AE27" i="7"/>
  <c r="AD27" i="7"/>
  <c r="AC27" i="7"/>
  <c r="AB27" i="7"/>
  <c r="AA27" i="7"/>
  <c r="Z27" i="7"/>
  <c r="Y27" i="7"/>
  <c r="X27" i="7"/>
  <c r="W27" i="7"/>
  <c r="AH26" i="7"/>
  <c r="AG26" i="7"/>
  <c r="AF26" i="7"/>
  <c r="AE26" i="7"/>
  <c r="AD26" i="7"/>
  <c r="AC26" i="7"/>
  <c r="AB26" i="7"/>
  <c r="AA26" i="7"/>
  <c r="Z26" i="7"/>
  <c r="Y26" i="7"/>
  <c r="X26" i="7"/>
  <c r="W26" i="7"/>
  <c r="AH25" i="7"/>
  <c r="AG25" i="7"/>
  <c r="AF25" i="7"/>
  <c r="AE25" i="7"/>
  <c r="AD25" i="7"/>
  <c r="AC25" i="7"/>
  <c r="AB25" i="7"/>
  <c r="AA25" i="7"/>
  <c r="Z25" i="7"/>
  <c r="Y25" i="7"/>
  <c r="X25" i="7"/>
  <c r="W25" i="7"/>
  <c r="AH24" i="7"/>
  <c r="AG24" i="7"/>
  <c r="AF24" i="7"/>
  <c r="AE24" i="7"/>
  <c r="AD24" i="7"/>
  <c r="AC24" i="7"/>
  <c r="AB24" i="7"/>
  <c r="AA24" i="7"/>
  <c r="Z24" i="7"/>
  <c r="Y24" i="7"/>
  <c r="X24" i="7"/>
  <c r="W24" i="7"/>
  <c r="AH23" i="7"/>
  <c r="AG23" i="7"/>
  <c r="AF23" i="7"/>
  <c r="AE23" i="7"/>
  <c r="AD23" i="7"/>
  <c r="AC23" i="7"/>
  <c r="AB23" i="7"/>
  <c r="AA23" i="7"/>
  <c r="Z23" i="7"/>
  <c r="Y23" i="7"/>
  <c r="X23" i="7"/>
  <c r="W23" i="7"/>
  <c r="AH22" i="7"/>
  <c r="AG22" i="7"/>
  <c r="AF22" i="7"/>
  <c r="AE22" i="7"/>
  <c r="AD22" i="7"/>
  <c r="AC22" i="7"/>
  <c r="AB22" i="7"/>
  <c r="AA22" i="7"/>
  <c r="Z22" i="7"/>
  <c r="Y22" i="7"/>
  <c r="X22" i="7"/>
  <c r="W22" i="7"/>
  <c r="AH21" i="7"/>
  <c r="AG21" i="7"/>
  <c r="AF21" i="7"/>
  <c r="AE21" i="7"/>
  <c r="AD21" i="7"/>
  <c r="AC21" i="7"/>
  <c r="AB21" i="7"/>
  <c r="AA21" i="7"/>
  <c r="Z21" i="7"/>
  <c r="Y21" i="7"/>
  <c r="X21" i="7"/>
  <c r="W21" i="7"/>
  <c r="AH20" i="7"/>
  <c r="AG20" i="7"/>
  <c r="AF20" i="7"/>
  <c r="AE20" i="7"/>
  <c r="AD20" i="7"/>
  <c r="AC20" i="7"/>
  <c r="AB20" i="7"/>
  <c r="AA20" i="7"/>
  <c r="Z20" i="7"/>
  <c r="Y20" i="7"/>
  <c r="X20" i="7"/>
  <c r="W20" i="7"/>
  <c r="AH19" i="7"/>
  <c r="AG19" i="7"/>
  <c r="AF19" i="7"/>
  <c r="AE19" i="7"/>
  <c r="AD19" i="7"/>
  <c r="AC19" i="7"/>
  <c r="AB19" i="7"/>
  <c r="AA19" i="7"/>
  <c r="Z19" i="7"/>
  <c r="Y19" i="7"/>
  <c r="X19" i="7"/>
  <c r="W19" i="7"/>
  <c r="AH18" i="7"/>
  <c r="AG18" i="7"/>
  <c r="AF18" i="7"/>
  <c r="AE18" i="7"/>
  <c r="AD18" i="7"/>
  <c r="AC18" i="7"/>
  <c r="AB18" i="7"/>
  <c r="AA18" i="7"/>
  <c r="Z18" i="7"/>
  <c r="Y18" i="7"/>
  <c r="X18" i="7"/>
  <c r="W18" i="7"/>
  <c r="AH17" i="7"/>
  <c r="AG17" i="7"/>
  <c r="AF17" i="7"/>
  <c r="AE17" i="7"/>
  <c r="AD17" i="7"/>
  <c r="AC17" i="7"/>
  <c r="AB17" i="7"/>
  <c r="AA17" i="7"/>
  <c r="Z17" i="7"/>
  <c r="Y17" i="7"/>
  <c r="X17" i="7"/>
  <c r="W17" i="7"/>
  <c r="AH16" i="7"/>
  <c r="AG16" i="7"/>
  <c r="AF16" i="7"/>
  <c r="AE16" i="7"/>
  <c r="AD16" i="7"/>
  <c r="AC16" i="7"/>
  <c r="AB16" i="7"/>
  <c r="AA16" i="7"/>
  <c r="Z16" i="7"/>
  <c r="Y16" i="7"/>
  <c r="X16" i="7"/>
  <c r="W16" i="7"/>
  <c r="AH15" i="7"/>
  <c r="AG15" i="7"/>
  <c r="AF15" i="7"/>
  <c r="AE15" i="7"/>
  <c r="AD15" i="7"/>
  <c r="AC15" i="7"/>
  <c r="AB15" i="7"/>
  <c r="AA15" i="7"/>
  <c r="Z15" i="7"/>
  <c r="Y15" i="7"/>
  <c r="X15" i="7"/>
  <c r="W15" i="7"/>
  <c r="AH14" i="7"/>
  <c r="AG14" i="7"/>
  <c r="AF14" i="7"/>
  <c r="AE14" i="7"/>
  <c r="AD14" i="7"/>
  <c r="AC14" i="7"/>
  <c r="AB14" i="7"/>
  <c r="AA14" i="7"/>
  <c r="Z14" i="7"/>
  <c r="Y14" i="7"/>
  <c r="X14" i="7"/>
  <c r="W14" i="7"/>
  <c r="AH13" i="7"/>
  <c r="AG13" i="7"/>
  <c r="AF13" i="7"/>
  <c r="AE13" i="7"/>
  <c r="AD13" i="7"/>
  <c r="AC13" i="7"/>
  <c r="AB13" i="7"/>
  <c r="AA13" i="7"/>
  <c r="Z13" i="7"/>
  <c r="Y13" i="7"/>
  <c r="X13" i="7"/>
  <c r="W13" i="7"/>
  <c r="AH12" i="7"/>
  <c r="AG12" i="7"/>
  <c r="AF12" i="7"/>
  <c r="AE12" i="7"/>
  <c r="AD12" i="7"/>
  <c r="AC12" i="7"/>
  <c r="AB12" i="7"/>
  <c r="AA12" i="7"/>
  <c r="Z12" i="7"/>
  <c r="Y12" i="7"/>
  <c r="X12" i="7"/>
  <c r="W12" i="7"/>
  <c r="AG11" i="7"/>
  <c r="AH11" i="7"/>
  <c r="AA11" i="7"/>
  <c r="AB11" i="7"/>
  <c r="AC11" i="7"/>
  <c r="AD11" i="7"/>
  <c r="AE11" i="7"/>
  <c r="AF11" i="7"/>
  <c r="Z11" i="7"/>
  <c r="AH147" i="6"/>
  <c r="AG147" i="6"/>
  <c r="AF147" i="6"/>
  <c r="AE147" i="6"/>
  <c r="AD147" i="6"/>
  <c r="AC147" i="6"/>
  <c r="AB147" i="6"/>
  <c r="AA147" i="6"/>
  <c r="Z147" i="6"/>
  <c r="Y147" i="6"/>
  <c r="X147" i="6"/>
  <c r="W147" i="6"/>
  <c r="AH146" i="6"/>
  <c r="AG146" i="6"/>
  <c r="AF146" i="6"/>
  <c r="AE146" i="6"/>
  <c r="AD146" i="6"/>
  <c r="AC146" i="6"/>
  <c r="AB146" i="6"/>
  <c r="AA146" i="6"/>
  <c r="Z146" i="6"/>
  <c r="Y146" i="6"/>
  <c r="X146" i="6"/>
  <c r="W146" i="6"/>
  <c r="AH145" i="6"/>
  <c r="AG145" i="6"/>
  <c r="AF145" i="6"/>
  <c r="AE145" i="6"/>
  <c r="AD145" i="6"/>
  <c r="AC145" i="6"/>
  <c r="AB145" i="6"/>
  <c r="AA145" i="6"/>
  <c r="Z145" i="6"/>
  <c r="Y145" i="6"/>
  <c r="X145" i="6"/>
  <c r="W145" i="6"/>
  <c r="AH144" i="6"/>
  <c r="AG144" i="6"/>
  <c r="AF144" i="6"/>
  <c r="AE144" i="6"/>
  <c r="AD144" i="6"/>
  <c r="AC144" i="6"/>
  <c r="AB144" i="6"/>
  <c r="AA144" i="6"/>
  <c r="Z144" i="6"/>
  <c r="Y144" i="6"/>
  <c r="X144" i="6"/>
  <c r="W144" i="6"/>
  <c r="AH143" i="6"/>
  <c r="AG143" i="6"/>
  <c r="AF143" i="6"/>
  <c r="AE143" i="6"/>
  <c r="AD143" i="6"/>
  <c r="AC143" i="6"/>
  <c r="AB143" i="6"/>
  <c r="AA143" i="6"/>
  <c r="Z143" i="6"/>
  <c r="Y143" i="6"/>
  <c r="X143" i="6"/>
  <c r="W143" i="6"/>
  <c r="AH142" i="6"/>
  <c r="AG142" i="6"/>
  <c r="AF142" i="6"/>
  <c r="AE142" i="6"/>
  <c r="AD142" i="6"/>
  <c r="AC142" i="6"/>
  <c r="AB142" i="6"/>
  <c r="AA142" i="6"/>
  <c r="Z142" i="6"/>
  <c r="Y142" i="6"/>
  <c r="X142" i="6"/>
  <c r="W142" i="6"/>
  <c r="AH137" i="6"/>
  <c r="AG137" i="6"/>
  <c r="AF137" i="6"/>
  <c r="AE137" i="6"/>
  <c r="AD137" i="6"/>
  <c r="AC137" i="6"/>
  <c r="AB137" i="6"/>
  <c r="AA137" i="6"/>
  <c r="Z137" i="6"/>
  <c r="Y137" i="6"/>
  <c r="X137" i="6"/>
  <c r="W137" i="6"/>
  <c r="AH136" i="6"/>
  <c r="AG136" i="6"/>
  <c r="AF136" i="6"/>
  <c r="AE136" i="6"/>
  <c r="AD136" i="6"/>
  <c r="AC136" i="6"/>
  <c r="AB136" i="6"/>
  <c r="AA136" i="6"/>
  <c r="Z136" i="6"/>
  <c r="Y136" i="6"/>
  <c r="X136" i="6"/>
  <c r="W136" i="6"/>
  <c r="AH135" i="6"/>
  <c r="AG135" i="6"/>
  <c r="AF135" i="6"/>
  <c r="AE135" i="6"/>
  <c r="AD135" i="6"/>
  <c r="AC135" i="6"/>
  <c r="AB135" i="6"/>
  <c r="AA135" i="6"/>
  <c r="Z135" i="6"/>
  <c r="Y135" i="6"/>
  <c r="X135" i="6"/>
  <c r="W135" i="6"/>
  <c r="AH134" i="6"/>
  <c r="AG134" i="6"/>
  <c r="AF134" i="6"/>
  <c r="AE134" i="6"/>
  <c r="AD134" i="6"/>
  <c r="AC134" i="6"/>
  <c r="AB134" i="6"/>
  <c r="AA134" i="6"/>
  <c r="Z134" i="6"/>
  <c r="Y134" i="6"/>
  <c r="X134" i="6"/>
  <c r="W134" i="6"/>
  <c r="AH133" i="6"/>
  <c r="AG133" i="6"/>
  <c r="AF133" i="6"/>
  <c r="AE133" i="6"/>
  <c r="AD133" i="6"/>
  <c r="AC133" i="6"/>
  <c r="AB133" i="6"/>
  <c r="AA133" i="6"/>
  <c r="Z133" i="6"/>
  <c r="Y133" i="6"/>
  <c r="X133" i="6"/>
  <c r="W133" i="6"/>
  <c r="AH132" i="6"/>
  <c r="AG132" i="6"/>
  <c r="AF132" i="6"/>
  <c r="AE132" i="6"/>
  <c r="AD132" i="6"/>
  <c r="AC132" i="6"/>
  <c r="AB132" i="6"/>
  <c r="AA132" i="6"/>
  <c r="Z132" i="6"/>
  <c r="Y132" i="6"/>
  <c r="X132" i="6"/>
  <c r="W132" i="6"/>
  <c r="AH131" i="6"/>
  <c r="AG131" i="6"/>
  <c r="AF131" i="6"/>
  <c r="AE131" i="6"/>
  <c r="AD131" i="6"/>
  <c r="AC131" i="6"/>
  <c r="AB131" i="6"/>
  <c r="AA131" i="6"/>
  <c r="Z131" i="6"/>
  <c r="Y131" i="6"/>
  <c r="X131" i="6"/>
  <c r="W131" i="6"/>
  <c r="AH130" i="6"/>
  <c r="AG130" i="6"/>
  <c r="AF130" i="6"/>
  <c r="AE130" i="6"/>
  <c r="AD130" i="6"/>
  <c r="AC130" i="6"/>
  <c r="AB130" i="6"/>
  <c r="AA130" i="6"/>
  <c r="Z130" i="6"/>
  <c r="Y130" i="6"/>
  <c r="X130" i="6"/>
  <c r="W130" i="6"/>
  <c r="AH129" i="6"/>
  <c r="AG129" i="6"/>
  <c r="AF129" i="6"/>
  <c r="AE129" i="6"/>
  <c r="AD129" i="6"/>
  <c r="AC129" i="6"/>
  <c r="AB129" i="6"/>
  <c r="AA129" i="6"/>
  <c r="Z129" i="6"/>
  <c r="Y129" i="6"/>
  <c r="X129" i="6"/>
  <c r="W129" i="6"/>
  <c r="AH128" i="6"/>
  <c r="AG128" i="6"/>
  <c r="AF128" i="6"/>
  <c r="AE128" i="6"/>
  <c r="AD128" i="6"/>
  <c r="AC128" i="6"/>
  <c r="AB128" i="6"/>
  <c r="AA128" i="6"/>
  <c r="Z128" i="6"/>
  <c r="Y128" i="6"/>
  <c r="X128" i="6"/>
  <c r="W128" i="6"/>
  <c r="AH127" i="6"/>
  <c r="AG127" i="6"/>
  <c r="AF127" i="6"/>
  <c r="AE127" i="6"/>
  <c r="AD127" i="6"/>
  <c r="AC127" i="6"/>
  <c r="AB127" i="6"/>
  <c r="AA127" i="6"/>
  <c r="Z127" i="6"/>
  <c r="Y127" i="6"/>
  <c r="X127" i="6"/>
  <c r="W127" i="6"/>
  <c r="AH126" i="6"/>
  <c r="AG126" i="6"/>
  <c r="AF126" i="6"/>
  <c r="AE126" i="6"/>
  <c r="AD126" i="6"/>
  <c r="AC126" i="6"/>
  <c r="AB126" i="6"/>
  <c r="AA126" i="6"/>
  <c r="Z126" i="6"/>
  <c r="Y126" i="6"/>
  <c r="X126" i="6"/>
  <c r="W126" i="6"/>
  <c r="AH125" i="6"/>
  <c r="AG125" i="6"/>
  <c r="AF125" i="6"/>
  <c r="AE125" i="6"/>
  <c r="AD125" i="6"/>
  <c r="AC125" i="6"/>
  <c r="AB125" i="6"/>
  <c r="AA125" i="6"/>
  <c r="Z125" i="6"/>
  <c r="Y125" i="6"/>
  <c r="X125" i="6"/>
  <c r="W125" i="6"/>
  <c r="AH124" i="6"/>
  <c r="AG124" i="6"/>
  <c r="AF124" i="6"/>
  <c r="AE124" i="6"/>
  <c r="AD124" i="6"/>
  <c r="AC124" i="6"/>
  <c r="AB124" i="6"/>
  <c r="AA124" i="6"/>
  <c r="Z124" i="6"/>
  <c r="Y124" i="6"/>
  <c r="X124" i="6"/>
  <c r="W124" i="6"/>
  <c r="AH123" i="6"/>
  <c r="AG123" i="6"/>
  <c r="AF123" i="6"/>
  <c r="AE123" i="6"/>
  <c r="AD123" i="6"/>
  <c r="AC123" i="6"/>
  <c r="AB123" i="6"/>
  <c r="AA123" i="6"/>
  <c r="Z123" i="6"/>
  <c r="Y123" i="6"/>
  <c r="X123" i="6"/>
  <c r="W123" i="6"/>
  <c r="AH122" i="6"/>
  <c r="AG122" i="6"/>
  <c r="AF122" i="6"/>
  <c r="AE122" i="6"/>
  <c r="AD122" i="6"/>
  <c r="AC122" i="6"/>
  <c r="AB122" i="6"/>
  <c r="AA122" i="6"/>
  <c r="Z122" i="6"/>
  <c r="Y122" i="6"/>
  <c r="X122" i="6"/>
  <c r="W122" i="6"/>
  <c r="AH121" i="6"/>
  <c r="AG121" i="6"/>
  <c r="AF121" i="6"/>
  <c r="AE121" i="6"/>
  <c r="AD121" i="6"/>
  <c r="AC121" i="6"/>
  <c r="AB121" i="6"/>
  <c r="AA121" i="6"/>
  <c r="Z121" i="6"/>
  <c r="Y121" i="6"/>
  <c r="X121" i="6"/>
  <c r="W121" i="6"/>
  <c r="AH114" i="6"/>
  <c r="AG114" i="6"/>
  <c r="AF114" i="6"/>
  <c r="AE114" i="6"/>
  <c r="AD114" i="6"/>
  <c r="AC114" i="6"/>
  <c r="AB114" i="6"/>
  <c r="AA114" i="6"/>
  <c r="Z114" i="6"/>
  <c r="Y114" i="6"/>
  <c r="X114" i="6"/>
  <c r="W114" i="6"/>
  <c r="AH112" i="6"/>
  <c r="AG112" i="6"/>
  <c r="AF112" i="6"/>
  <c r="AE112" i="6"/>
  <c r="AD112" i="6"/>
  <c r="AC112" i="6"/>
  <c r="AB112" i="6"/>
  <c r="AA112" i="6"/>
  <c r="Z112" i="6"/>
  <c r="Y112" i="6"/>
  <c r="X112" i="6"/>
  <c r="W112" i="6"/>
  <c r="AH109" i="6"/>
  <c r="AG109" i="6"/>
  <c r="AF109" i="6"/>
  <c r="AE109" i="6"/>
  <c r="AD109" i="6"/>
  <c r="AC109" i="6"/>
  <c r="AB109" i="6"/>
  <c r="AA109" i="6"/>
  <c r="Z109" i="6"/>
  <c r="Y109" i="6"/>
  <c r="X109" i="6"/>
  <c r="W109" i="6"/>
  <c r="AH108" i="6"/>
  <c r="AG108" i="6"/>
  <c r="AF108" i="6"/>
  <c r="AE108" i="6"/>
  <c r="AD108" i="6"/>
  <c r="AC108" i="6"/>
  <c r="AB108" i="6"/>
  <c r="AA108" i="6"/>
  <c r="Z108" i="6"/>
  <c r="Y108" i="6"/>
  <c r="X108" i="6"/>
  <c r="W108" i="6"/>
  <c r="AH107" i="6"/>
  <c r="AG107" i="6"/>
  <c r="AF107" i="6"/>
  <c r="AE107" i="6"/>
  <c r="AD107" i="6"/>
  <c r="AC107" i="6"/>
  <c r="AB107" i="6"/>
  <c r="AA107" i="6"/>
  <c r="Z107" i="6"/>
  <c r="Y107" i="6"/>
  <c r="X107" i="6"/>
  <c r="W107" i="6"/>
  <c r="AH106" i="6"/>
  <c r="AG106" i="6"/>
  <c r="AF106" i="6"/>
  <c r="AE106" i="6"/>
  <c r="AD106" i="6"/>
  <c r="AC106" i="6"/>
  <c r="AB106" i="6"/>
  <c r="AA106" i="6"/>
  <c r="Z106" i="6"/>
  <c r="Y106" i="6"/>
  <c r="X106" i="6"/>
  <c r="W106" i="6"/>
  <c r="AH105" i="6"/>
  <c r="AG105" i="6"/>
  <c r="AF105" i="6"/>
  <c r="AE105" i="6"/>
  <c r="AD105" i="6"/>
  <c r="AC105" i="6"/>
  <c r="AB105" i="6"/>
  <c r="AA105" i="6"/>
  <c r="Z105" i="6"/>
  <c r="Y105" i="6"/>
  <c r="X105" i="6"/>
  <c r="W105" i="6"/>
  <c r="AH104" i="6"/>
  <c r="AG104" i="6"/>
  <c r="AF104" i="6"/>
  <c r="AE104" i="6"/>
  <c r="AD104" i="6"/>
  <c r="AC104" i="6"/>
  <c r="AB104" i="6"/>
  <c r="AA104" i="6"/>
  <c r="Z104" i="6"/>
  <c r="Y104" i="6"/>
  <c r="X104" i="6"/>
  <c r="W104" i="6"/>
  <c r="AH103" i="6"/>
  <c r="AG103" i="6"/>
  <c r="AF103" i="6"/>
  <c r="AE103" i="6"/>
  <c r="AD103" i="6"/>
  <c r="AC103" i="6"/>
  <c r="AB103" i="6"/>
  <c r="AA103" i="6"/>
  <c r="Z103" i="6"/>
  <c r="Y103" i="6"/>
  <c r="X103" i="6"/>
  <c r="W103" i="6"/>
  <c r="AH102" i="6"/>
  <c r="AG102" i="6"/>
  <c r="AF102" i="6"/>
  <c r="AE102" i="6"/>
  <c r="AD102" i="6"/>
  <c r="AC102" i="6"/>
  <c r="AB102" i="6"/>
  <c r="AA102" i="6"/>
  <c r="Z102" i="6"/>
  <c r="Y102" i="6"/>
  <c r="X102" i="6"/>
  <c r="W102" i="6"/>
  <c r="AH101" i="6"/>
  <c r="AG101" i="6"/>
  <c r="AF101" i="6"/>
  <c r="AE101" i="6"/>
  <c r="AD101" i="6"/>
  <c r="AC101" i="6"/>
  <c r="AB101" i="6"/>
  <c r="AA101" i="6"/>
  <c r="Z101" i="6"/>
  <c r="Y101" i="6"/>
  <c r="X101" i="6"/>
  <c r="W101" i="6"/>
  <c r="AH100" i="6"/>
  <c r="AG100" i="6"/>
  <c r="AF100" i="6"/>
  <c r="AE100" i="6"/>
  <c r="AD100" i="6"/>
  <c r="AC100" i="6"/>
  <c r="AB100" i="6"/>
  <c r="AA100" i="6"/>
  <c r="Z100" i="6"/>
  <c r="Y100" i="6"/>
  <c r="X100" i="6"/>
  <c r="W100" i="6"/>
  <c r="AH99" i="6"/>
  <c r="AG99" i="6"/>
  <c r="AF99" i="6"/>
  <c r="AE99" i="6"/>
  <c r="AD99" i="6"/>
  <c r="AC99" i="6"/>
  <c r="AB99" i="6"/>
  <c r="AA99" i="6"/>
  <c r="Z99" i="6"/>
  <c r="Y99" i="6"/>
  <c r="X99" i="6"/>
  <c r="W99" i="6"/>
  <c r="AH98" i="6"/>
  <c r="AG98" i="6"/>
  <c r="AF98" i="6"/>
  <c r="AE98" i="6"/>
  <c r="AD98" i="6"/>
  <c r="AC98" i="6"/>
  <c r="AB98" i="6"/>
  <c r="AA98" i="6"/>
  <c r="Z98" i="6"/>
  <c r="Y98" i="6"/>
  <c r="X98" i="6"/>
  <c r="W98" i="6"/>
  <c r="AH97" i="6"/>
  <c r="AG97" i="6"/>
  <c r="AF97" i="6"/>
  <c r="AE97" i="6"/>
  <c r="AD97" i="6"/>
  <c r="AC97" i="6"/>
  <c r="AB97" i="6"/>
  <c r="AA97" i="6"/>
  <c r="Z97" i="6"/>
  <c r="Y97" i="6"/>
  <c r="X97" i="6"/>
  <c r="W97" i="6"/>
  <c r="AH96" i="6"/>
  <c r="AG96" i="6"/>
  <c r="AF96" i="6"/>
  <c r="AE96" i="6"/>
  <c r="AD96" i="6"/>
  <c r="AC96" i="6"/>
  <c r="AB96" i="6"/>
  <c r="AA96" i="6"/>
  <c r="Z96" i="6"/>
  <c r="Y96" i="6"/>
  <c r="X96" i="6"/>
  <c r="W96" i="6"/>
  <c r="AH95" i="6"/>
  <c r="AG95" i="6"/>
  <c r="AF95" i="6"/>
  <c r="AE95" i="6"/>
  <c r="AD95" i="6"/>
  <c r="AC95" i="6"/>
  <c r="AB95" i="6"/>
  <c r="AA95" i="6"/>
  <c r="Z95" i="6"/>
  <c r="Y95" i="6"/>
  <c r="X95" i="6"/>
  <c r="W95" i="6"/>
  <c r="AH94" i="6"/>
  <c r="AG94" i="6"/>
  <c r="AF94" i="6"/>
  <c r="AE94" i="6"/>
  <c r="AD94" i="6"/>
  <c r="AC94" i="6"/>
  <c r="AB94" i="6"/>
  <c r="AA94" i="6"/>
  <c r="Z94" i="6"/>
  <c r="Y94" i="6"/>
  <c r="X94" i="6"/>
  <c r="W94" i="6"/>
  <c r="AH93" i="6"/>
  <c r="AG93" i="6"/>
  <c r="AF93" i="6"/>
  <c r="AE93" i="6"/>
  <c r="AD93" i="6"/>
  <c r="AC93" i="6"/>
  <c r="AB93" i="6"/>
  <c r="AA93" i="6"/>
  <c r="Z93" i="6"/>
  <c r="Y93" i="6"/>
  <c r="X93" i="6"/>
  <c r="W93" i="6"/>
  <c r="AH92" i="6"/>
  <c r="AG92" i="6"/>
  <c r="AF92" i="6"/>
  <c r="AE92" i="6"/>
  <c r="AD92" i="6"/>
  <c r="AC92" i="6"/>
  <c r="AB92" i="6"/>
  <c r="AA92" i="6"/>
  <c r="Z92" i="6"/>
  <c r="Y92" i="6"/>
  <c r="X92" i="6"/>
  <c r="W92" i="6"/>
  <c r="AH91" i="6"/>
  <c r="AG91" i="6"/>
  <c r="AF91" i="6"/>
  <c r="AE91" i="6"/>
  <c r="AD91" i="6"/>
  <c r="AC91" i="6"/>
  <c r="AB91" i="6"/>
  <c r="AA91" i="6"/>
  <c r="Z91" i="6"/>
  <c r="Y91" i="6"/>
  <c r="X91" i="6"/>
  <c r="W91" i="6"/>
  <c r="AH90" i="6"/>
  <c r="AG90" i="6"/>
  <c r="AF90" i="6"/>
  <c r="AE90" i="6"/>
  <c r="AD90" i="6"/>
  <c r="AC90" i="6"/>
  <c r="AB90" i="6"/>
  <c r="AA90" i="6"/>
  <c r="Z90" i="6"/>
  <c r="Y90" i="6"/>
  <c r="X90" i="6"/>
  <c r="W90" i="6"/>
  <c r="AH89" i="6"/>
  <c r="AG89" i="6"/>
  <c r="AF89" i="6"/>
  <c r="AE89" i="6"/>
  <c r="AD89" i="6"/>
  <c r="AC89" i="6"/>
  <c r="AB89" i="6"/>
  <c r="AA89" i="6"/>
  <c r="Z89" i="6"/>
  <c r="Y89" i="6"/>
  <c r="X89" i="6"/>
  <c r="W89" i="6"/>
  <c r="AH88" i="6"/>
  <c r="AG88" i="6"/>
  <c r="AF88" i="6"/>
  <c r="AE88" i="6"/>
  <c r="AD88" i="6"/>
  <c r="AC88" i="6"/>
  <c r="AB88" i="6"/>
  <c r="AA88" i="6"/>
  <c r="Z88" i="6"/>
  <c r="Y88" i="6"/>
  <c r="X88" i="6"/>
  <c r="W88" i="6"/>
  <c r="AH87" i="6"/>
  <c r="AG87" i="6"/>
  <c r="AF87" i="6"/>
  <c r="AE87" i="6"/>
  <c r="AD87" i="6"/>
  <c r="AC87" i="6"/>
  <c r="AB87" i="6"/>
  <c r="AA87" i="6"/>
  <c r="Z87" i="6"/>
  <c r="Y87" i="6"/>
  <c r="X87" i="6"/>
  <c r="W87" i="6"/>
  <c r="AH86" i="6"/>
  <c r="AG86" i="6"/>
  <c r="AF86" i="6"/>
  <c r="AE86" i="6"/>
  <c r="AD86" i="6"/>
  <c r="AC86" i="6"/>
  <c r="AB86" i="6"/>
  <c r="AA86" i="6"/>
  <c r="Z86" i="6"/>
  <c r="Y86" i="6"/>
  <c r="X86" i="6"/>
  <c r="W86" i="6"/>
  <c r="AH85" i="6"/>
  <c r="AG85" i="6"/>
  <c r="AF85" i="6"/>
  <c r="AE85" i="6"/>
  <c r="AD85" i="6"/>
  <c r="AC85" i="6"/>
  <c r="AB85" i="6"/>
  <c r="AA85" i="6"/>
  <c r="Z85" i="6"/>
  <c r="Y85" i="6"/>
  <c r="X85" i="6"/>
  <c r="W85" i="6"/>
  <c r="AH84" i="6"/>
  <c r="AG84" i="6"/>
  <c r="AF84" i="6"/>
  <c r="AE84" i="6"/>
  <c r="AD84" i="6"/>
  <c r="AC84" i="6"/>
  <c r="AB84" i="6"/>
  <c r="AA84" i="6"/>
  <c r="Z84" i="6"/>
  <c r="Y84" i="6"/>
  <c r="X84" i="6"/>
  <c r="W84" i="6"/>
  <c r="AH83" i="6"/>
  <c r="AG83" i="6"/>
  <c r="AF83" i="6"/>
  <c r="AE83" i="6"/>
  <c r="AD83" i="6"/>
  <c r="AC83" i="6"/>
  <c r="AB83" i="6"/>
  <c r="AA83" i="6"/>
  <c r="Z83" i="6"/>
  <c r="Y83" i="6"/>
  <c r="X83" i="6"/>
  <c r="W83" i="6"/>
  <c r="AH82" i="6"/>
  <c r="AG82" i="6"/>
  <c r="AF82" i="6"/>
  <c r="AE82" i="6"/>
  <c r="AD82" i="6"/>
  <c r="AC82" i="6"/>
  <c r="AB82" i="6"/>
  <c r="AA82" i="6"/>
  <c r="Z82" i="6"/>
  <c r="Y82" i="6"/>
  <c r="X82" i="6"/>
  <c r="W82" i="6"/>
  <c r="AH81" i="6"/>
  <c r="AG81" i="6"/>
  <c r="AF81" i="6"/>
  <c r="AE81" i="6"/>
  <c r="AD81" i="6"/>
  <c r="AC81" i="6"/>
  <c r="AB81" i="6"/>
  <c r="AA81" i="6"/>
  <c r="Z81" i="6"/>
  <c r="Y81" i="6"/>
  <c r="X81" i="6"/>
  <c r="W81" i="6"/>
  <c r="AH80" i="6"/>
  <c r="AG80" i="6"/>
  <c r="AF80" i="6"/>
  <c r="AE80" i="6"/>
  <c r="AD80" i="6"/>
  <c r="AC80" i="6"/>
  <c r="AB80" i="6"/>
  <c r="AA80" i="6"/>
  <c r="Z80" i="6"/>
  <c r="Y80" i="6"/>
  <c r="X80" i="6"/>
  <c r="W80" i="6"/>
  <c r="AH79" i="6"/>
  <c r="AG79" i="6"/>
  <c r="AF79" i="6"/>
  <c r="AE79" i="6"/>
  <c r="AD79" i="6"/>
  <c r="AC79" i="6"/>
  <c r="AB79" i="6"/>
  <c r="AA79" i="6"/>
  <c r="Z79" i="6"/>
  <c r="Y79" i="6"/>
  <c r="X79" i="6"/>
  <c r="W79" i="6"/>
  <c r="AH78" i="6"/>
  <c r="AG78" i="6"/>
  <c r="AF78" i="6"/>
  <c r="AE78" i="6"/>
  <c r="AD78" i="6"/>
  <c r="AC78" i="6"/>
  <c r="AB78" i="6"/>
  <c r="AA78" i="6"/>
  <c r="Z78" i="6"/>
  <c r="Y78" i="6"/>
  <c r="X78" i="6"/>
  <c r="W78" i="6"/>
  <c r="AH77" i="6"/>
  <c r="AG77" i="6"/>
  <c r="AF77" i="6"/>
  <c r="AE77" i="6"/>
  <c r="AD77" i="6"/>
  <c r="AC77" i="6"/>
  <c r="AB77" i="6"/>
  <c r="AA77" i="6"/>
  <c r="Z77" i="6"/>
  <c r="Y77" i="6"/>
  <c r="X77" i="6"/>
  <c r="W77" i="6"/>
  <c r="AH76" i="6"/>
  <c r="AG76" i="6"/>
  <c r="AF76" i="6"/>
  <c r="AE76" i="6"/>
  <c r="AD76" i="6"/>
  <c r="AC76" i="6"/>
  <c r="AB76" i="6"/>
  <c r="AA76" i="6"/>
  <c r="Z76" i="6"/>
  <c r="Y76" i="6"/>
  <c r="X76" i="6"/>
  <c r="W76" i="6"/>
  <c r="AH75" i="6"/>
  <c r="AG75" i="6"/>
  <c r="AF75" i="6"/>
  <c r="AE75" i="6"/>
  <c r="AD75" i="6"/>
  <c r="AC75" i="6"/>
  <c r="AB75" i="6"/>
  <c r="AA75" i="6"/>
  <c r="Z75" i="6"/>
  <c r="Y75" i="6"/>
  <c r="X75" i="6"/>
  <c r="W75" i="6"/>
  <c r="AH74" i="6"/>
  <c r="AG74" i="6"/>
  <c r="AF74" i="6"/>
  <c r="AE74" i="6"/>
  <c r="AD74" i="6"/>
  <c r="AC74" i="6"/>
  <c r="AB74" i="6"/>
  <c r="AA74" i="6"/>
  <c r="Z74" i="6"/>
  <c r="Y74" i="6"/>
  <c r="X74" i="6"/>
  <c r="W74" i="6"/>
  <c r="AH73" i="6"/>
  <c r="AG73" i="6"/>
  <c r="AF73" i="6"/>
  <c r="AE73" i="6"/>
  <c r="AD73" i="6"/>
  <c r="AC73" i="6"/>
  <c r="AB73" i="6"/>
  <c r="AA73" i="6"/>
  <c r="Z73" i="6"/>
  <c r="Y73" i="6"/>
  <c r="X73" i="6"/>
  <c r="W73" i="6"/>
  <c r="AH72" i="6"/>
  <c r="AG72" i="6"/>
  <c r="AF72" i="6"/>
  <c r="AE72" i="6"/>
  <c r="AD72" i="6"/>
  <c r="AC72" i="6"/>
  <c r="AB72" i="6"/>
  <c r="AA72" i="6"/>
  <c r="Z72" i="6"/>
  <c r="Y72" i="6"/>
  <c r="X72" i="6"/>
  <c r="W72" i="6"/>
  <c r="AH71" i="6"/>
  <c r="AG71" i="6"/>
  <c r="AF71" i="6"/>
  <c r="AE71" i="6"/>
  <c r="AD71" i="6"/>
  <c r="AC71" i="6"/>
  <c r="AB71" i="6"/>
  <c r="AA71" i="6"/>
  <c r="Z71" i="6"/>
  <c r="Y71" i="6"/>
  <c r="X71" i="6"/>
  <c r="W71" i="6"/>
  <c r="AH70" i="6"/>
  <c r="AG70" i="6"/>
  <c r="AF70" i="6"/>
  <c r="AE70" i="6"/>
  <c r="AD70" i="6"/>
  <c r="AC70" i="6"/>
  <c r="AB70" i="6"/>
  <c r="AA70" i="6"/>
  <c r="Z70" i="6"/>
  <c r="Y70" i="6"/>
  <c r="X70" i="6"/>
  <c r="W70" i="6"/>
  <c r="AH69" i="6"/>
  <c r="AG69" i="6"/>
  <c r="AF69" i="6"/>
  <c r="AE69" i="6"/>
  <c r="AD69" i="6"/>
  <c r="AC69" i="6"/>
  <c r="AB69" i="6"/>
  <c r="AA69" i="6"/>
  <c r="Z69" i="6"/>
  <c r="Y69" i="6"/>
  <c r="X69" i="6"/>
  <c r="W69" i="6"/>
  <c r="AH68" i="6"/>
  <c r="AG68" i="6"/>
  <c r="AF68" i="6"/>
  <c r="AE68" i="6"/>
  <c r="AD68" i="6"/>
  <c r="AC68" i="6"/>
  <c r="AB68" i="6"/>
  <c r="AA68" i="6"/>
  <c r="Z68" i="6"/>
  <c r="Y68" i="6"/>
  <c r="X68" i="6"/>
  <c r="W68" i="6"/>
  <c r="AH67" i="6"/>
  <c r="AG67" i="6"/>
  <c r="AF67" i="6"/>
  <c r="AE67" i="6"/>
  <c r="AD67" i="6"/>
  <c r="AC67" i="6"/>
  <c r="AB67" i="6"/>
  <c r="AA67" i="6"/>
  <c r="Z67" i="6"/>
  <c r="Y67" i="6"/>
  <c r="X67" i="6"/>
  <c r="W67" i="6"/>
  <c r="AH66" i="6"/>
  <c r="AG66" i="6"/>
  <c r="AF66" i="6"/>
  <c r="AE66" i="6"/>
  <c r="AD66" i="6"/>
  <c r="AC66" i="6"/>
  <c r="AB66" i="6"/>
  <c r="AA66" i="6"/>
  <c r="Z66" i="6"/>
  <c r="Y66" i="6"/>
  <c r="X66" i="6"/>
  <c r="W66" i="6"/>
  <c r="AH65" i="6"/>
  <c r="AG65" i="6"/>
  <c r="AF65" i="6"/>
  <c r="AE65" i="6"/>
  <c r="AD65" i="6"/>
  <c r="AC65" i="6"/>
  <c r="AB65" i="6"/>
  <c r="AA65" i="6"/>
  <c r="Z65" i="6"/>
  <c r="Y65" i="6"/>
  <c r="X65" i="6"/>
  <c r="W65" i="6"/>
  <c r="AH59" i="6"/>
  <c r="AG59" i="6"/>
  <c r="AF59" i="6"/>
  <c r="AE59" i="6"/>
  <c r="AD59" i="6"/>
  <c r="AC59" i="6"/>
  <c r="AB59" i="6"/>
  <c r="AA59" i="6"/>
  <c r="Z59" i="6"/>
  <c r="Y59" i="6"/>
  <c r="X59" i="6"/>
  <c r="W59" i="6"/>
  <c r="AH58" i="6"/>
  <c r="AG58" i="6"/>
  <c r="AF58" i="6"/>
  <c r="AE58" i="6"/>
  <c r="AD58" i="6"/>
  <c r="AC58" i="6"/>
  <c r="AB58" i="6"/>
  <c r="AA58" i="6"/>
  <c r="Z58" i="6"/>
  <c r="Y58" i="6"/>
  <c r="X58" i="6"/>
  <c r="W58" i="6"/>
  <c r="AH57" i="6"/>
  <c r="AG57" i="6"/>
  <c r="AF57" i="6"/>
  <c r="AE57" i="6"/>
  <c r="AD57" i="6"/>
  <c r="AC57" i="6"/>
  <c r="AB57" i="6"/>
  <c r="AA57" i="6"/>
  <c r="Z57" i="6"/>
  <c r="Y57" i="6"/>
  <c r="X57" i="6"/>
  <c r="W57" i="6"/>
  <c r="AH56" i="6"/>
  <c r="AG56" i="6"/>
  <c r="AF56" i="6"/>
  <c r="AE56" i="6"/>
  <c r="AD56" i="6"/>
  <c r="AC56" i="6"/>
  <c r="AB56" i="6"/>
  <c r="AA56" i="6"/>
  <c r="Z56" i="6"/>
  <c r="Y56" i="6"/>
  <c r="X56" i="6"/>
  <c r="W56" i="6"/>
  <c r="AH55" i="6"/>
  <c r="AG55" i="6"/>
  <c r="AF55" i="6"/>
  <c r="AE55" i="6"/>
  <c r="AD55" i="6"/>
  <c r="AC55" i="6"/>
  <c r="AB55" i="6"/>
  <c r="AA55" i="6"/>
  <c r="Z55" i="6"/>
  <c r="Y55" i="6"/>
  <c r="X55" i="6"/>
  <c r="W55" i="6"/>
  <c r="AH54" i="6"/>
  <c r="AG54" i="6"/>
  <c r="AF54" i="6"/>
  <c r="AE54" i="6"/>
  <c r="AD54" i="6"/>
  <c r="AC54" i="6"/>
  <c r="AB54" i="6"/>
  <c r="AA54" i="6"/>
  <c r="Z54" i="6"/>
  <c r="Y54" i="6"/>
  <c r="X54" i="6"/>
  <c r="W54" i="6"/>
  <c r="AH53" i="6"/>
  <c r="AG53" i="6"/>
  <c r="AF53" i="6"/>
  <c r="AE53" i="6"/>
  <c r="AD53" i="6"/>
  <c r="AC53" i="6"/>
  <c r="AB53" i="6"/>
  <c r="AA53" i="6"/>
  <c r="Z53" i="6"/>
  <c r="Y53" i="6"/>
  <c r="X53" i="6"/>
  <c r="W53" i="6"/>
  <c r="AH52" i="6"/>
  <c r="AG52" i="6"/>
  <c r="AF52" i="6"/>
  <c r="AE52" i="6"/>
  <c r="AD52" i="6"/>
  <c r="AC52" i="6"/>
  <c r="AB52" i="6"/>
  <c r="AA52" i="6"/>
  <c r="Z52" i="6"/>
  <c r="Y52" i="6"/>
  <c r="X52" i="6"/>
  <c r="W52" i="6"/>
  <c r="AH51" i="6"/>
  <c r="AG51" i="6"/>
  <c r="AF51" i="6"/>
  <c r="AE51" i="6"/>
  <c r="AD51" i="6"/>
  <c r="AC51" i="6"/>
  <c r="AB51" i="6"/>
  <c r="AA51" i="6"/>
  <c r="Z51" i="6"/>
  <c r="Y51" i="6"/>
  <c r="X51" i="6"/>
  <c r="W51" i="6"/>
  <c r="AH44" i="6"/>
  <c r="AG44" i="6"/>
  <c r="AF44" i="6"/>
  <c r="AE44" i="6"/>
  <c r="AD44" i="6"/>
  <c r="AC44" i="6"/>
  <c r="AB44" i="6"/>
  <c r="AA44" i="6"/>
  <c r="Z44" i="6"/>
  <c r="Y44" i="6"/>
  <c r="X44" i="6"/>
  <c r="W44" i="6"/>
  <c r="AH43" i="6"/>
  <c r="AG43" i="6"/>
  <c r="AF43" i="6"/>
  <c r="AE43" i="6"/>
  <c r="AD43" i="6"/>
  <c r="AC43" i="6"/>
  <c r="AB43" i="6"/>
  <c r="AA43" i="6"/>
  <c r="Z43" i="6"/>
  <c r="Y43" i="6"/>
  <c r="X43" i="6"/>
  <c r="W43" i="6"/>
  <c r="AH42" i="6"/>
  <c r="AG42" i="6"/>
  <c r="AF42" i="6"/>
  <c r="AE42" i="6"/>
  <c r="AD42" i="6"/>
  <c r="AC42" i="6"/>
  <c r="AB42" i="6"/>
  <c r="AA42" i="6"/>
  <c r="Z42" i="6"/>
  <c r="Y42" i="6"/>
  <c r="X42" i="6"/>
  <c r="W42" i="6"/>
  <c r="AH41" i="6"/>
  <c r="AG41" i="6"/>
  <c r="AF41" i="6"/>
  <c r="AE41" i="6"/>
  <c r="AD41" i="6"/>
  <c r="AC41" i="6"/>
  <c r="AB41" i="6"/>
  <c r="AA41" i="6"/>
  <c r="Z41" i="6"/>
  <c r="Y41" i="6"/>
  <c r="X41" i="6"/>
  <c r="W41" i="6"/>
  <c r="AH40" i="6"/>
  <c r="AG40" i="6"/>
  <c r="AF40" i="6"/>
  <c r="AE40" i="6"/>
  <c r="AD40" i="6"/>
  <c r="AC40" i="6"/>
  <c r="AB40" i="6"/>
  <c r="AA40" i="6"/>
  <c r="Z40" i="6"/>
  <c r="Y40" i="6"/>
  <c r="X40" i="6"/>
  <c r="W40" i="6"/>
  <c r="AH39" i="6"/>
  <c r="AG39" i="6"/>
  <c r="AF39" i="6"/>
  <c r="AE39" i="6"/>
  <c r="AD39" i="6"/>
  <c r="AC39" i="6"/>
  <c r="AB39" i="6"/>
  <c r="AA39" i="6"/>
  <c r="Z39" i="6"/>
  <c r="Y39" i="6"/>
  <c r="X39" i="6"/>
  <c r="W39" i="6"/>
  <c r="AH38" i="6"/>
  <c r="AG38" i="6"/>
  <c r="AF38" i="6"/>
  <c r="AE38" i="6"/>
  <c r="AD38" i="6"/>
  <c r="AC38" i="6"/>
  <c r="AB38" i="6"/>
  <c r="AA38" i="6"/>
  <c r="Z38" i="6"/>
  <c r="Y38" i="6"/>
  <c r="X38" i="6"/>
  <c r="W38" i="6"/>
  <c r="AH31" i="6"/>
  <c r="AG31" i="6"/>
  <c r="AF31" i="6"/>
  <c r="AE31" i="6"/>
  <c r="AD31" i="6"/>
  <c r="AC31" i="6"/>
  <c r="AB31" i="6"/>
  <c r="AA31" i="6"/>
  <c r="Z31" i="6"/>
  <c r="Y31" i="6"/>
  <c r="X31" i="6"/>
  <c r="W31" i="6"/>
  <c r="AH30" i="6"/>
  <c r="AG30" i="6"/>
  <c r="AF30" i="6"/>
  <c r="AE30" i="6"/>
  <c r="AD30" i="6"/>
  <c r="AC30" i="6"/>
  <c r="AB30" i="6"/>
  <c r="AA30" i="6"/>
  <c r="Z30" i="6"/>
  <c r="Y30" i="6"/>
  <c r="X30" i="6"/>
  <c r="W30" i="6"/>
  <c r="AH28" i="6"/>
  <c r="AG28" i="6"/>
  <c r="AF28" i="6"/>
  <c r="AE28" i="6"/>
  <c r="AD28" i="6"/>
  <c r="AC28" i="6"/>
  <c r="AB28" i="6"/>
  <c r="AA28" i="6"/>
  <c r="Z28" i="6"/>
  <c r="Y28" i="6"/>
  <c r="X28" i="6"/>
  <c r="W28" i="6"/>
  <c r="AH27" i="6"/>
  <c r="AG27" i="6"/>
  <c r="AF27" i="6"/>
  <c r="AE27" i="6"/>
  <c r="AD27" i="6"/>
  <c r="AC27" i="6"/>
  <c r="AB27" i="6"/>
  <c r="AA27" i="6"/>
  <c r="Z27" i="6"/>
  <c r="Y27" i="6"/>
  <c r="X27" i="6"/>
  <c r="W27" i="6"/>
  <c r="AF26" i="6"/>
  <c r="AH26" i="6"/>
  <c r="AG26" i="6"/>
  <c r="AA26" i="6"/>
  <c r="AB26" i="6"/>
  <c r="AC26" i="6"/>
  <c r="AD26" i="6"/>
  <c r="AE26" i="6"/>
  <c r="Z26" i="6"/>
  <c r="AG206" i="5"/>
  <c r="AF206" i="5"/>
  <c r="AE206" i="5"/>
  <c r="AD206" i="5"/>
  <c r="AC206" i="5"/>
  <c r="AB206" i="5"/>
  <c r="AA206" i="5"/>
  <c r="Z206" i="5"/>
  <c r="Y206" i="5"/>
  <c r="X206" i="5"/>
  <c r="W206" i="5"/>
  <c r="V206" i="5"/>
  <c r="AG205" i="5"/>
  <c r="AF205" i="5"/>
  <c r="AE205" i="5"/>
  <c r="AD205" i="5"/>
  <c r="AC205" i="5"/>
  <c r="AB205" i="5"/>
  <c r="AA205" i="5"/>
  <c r="Z205" i="5"/>
  <c r="Y205" i="5"/>
  <c r="X205" i="5"/>
  <c r="W205" i="5"/>
  <c r="V205" i="5"/>
  <c r="AD204" i="5"/>
  <c r="AC204" i="5"/>
  <c r="AB204" i="5"/>
  <c r="AA204" i="5"/>
  <c r="Z204" i="5"/>
  <c r="Y204" i="5"/>
  <c r="X204" i="5"/>
  <c r="W204" i="5"/>
  <c r="V204" i="5"/>
  <c r="AD203" i="5"/>
  <c r="AC203" i="5"/>
  <c r="AB203" i="5"/>
  <c r="AA203" i="5"/>
  <c r="Z203" i="5"/>
  <c r="Y203" i="5"/>
  <c r="X203" i="5"/>
  <c r="W203" i="5"/>
  <c r="V203" i="5"/>
  <c r="AD202" i="5"/>
  <c r="AC202" i="5"/>
  <c r="AB202" i="5"/>
  <c r="AA202" i="5"/>
  <c r="Z202" i="5"/>
  <c r="Y202" i="5"/>
  <c r="X202" i="5"/>
  <c r="W202" i="5"/>
  <c r="V202" i="5"/>
  <c r="AD201" i="5"/>
  <c r="AC201" i="5"/>
  <c r="AB201" i="5"/>
  <c r="AA201" i="5"/>
  <c r="Z201" i="5"/>
  <c r="Y201" i="5"/>
  <c r="X201" i="5"/>
  <c r="W201" i="5"/>
  <c r="V201" i="5"/>
  <c r="AD200" i="5"/>
  <c r="AC200" i="5"/>
  <c r="AB200" i="5"/>
  <c r="AA200" i="5"/>
  <c r="Z200" i="5"/>
  <c r="Y200" i="5"/>
  <c r="X200" i="5"/>
  <c r="W200" i="5"/>
  <c r="V200" i="5"/>
  <c r="AD199" i="5"/>
  <c r="AC199" i="5"/>
  <c r="AB199" i="5"/>
  <c r="AA199" i="5"/>
  <c r="Z199" i="5"/>
  <c r="Y199" i="5"/>
  <c r="X199" i="5"/>
  <c r="W199" i="5"/>
  <c r="V199" i="5"/>
  <c r="AD198" i="5"/>
  <c r="AC198" i="5"/>
  <c r="AB198" i="5"/>
  <c r="AA198" i="5"/>
  <c r="Z198" i="5"/>
  <c r="Y198" i="5"/>
  <c r="X198" i="5"/>
  <c r="W198" i="5"/>
  <c r="V198" i="5"/>
  <c r="AD197" i="5"/>
  <c r="AC197" i="5"/>
  <c r="AB197" i="5"/>
  <c r="AA197" i="5"/>
  <c r="Z197" i="5"/>
  <c r="Y197" i="5"/>
  <c r="X197" i="5"/>
  <c r="W197" i="5"/>
  <c r="V197" i="5"/>
  <c r="AD196" i="5"/>
  <c r="AC196" i="5"/>
  <c r="AB196" i="5"/>
  <c r="AA196" i="5"/>
  <c r="Z196" i="5"/>
  <c r="Y196" i="5"/>
  <c r="X196" i="5"/>
  <c r="W196" i="5"/>
  <c r="V196" i="5"/>
  <c r="AD195" i="5"/>
  <c r="AC195" i="5"/>
  <c r="AB195" i="5"/>
  <c r="AA195" i="5"/>
  <c r="Z195" i="5"/>
  <c r="Y195" i="5"/>
  <c r="X195" i="5"/>
  <c r="W195" i="5"/>
  <c r="V195" i="5"/>
  <c r="AG194" i="5"/>
  <c r="AF194" i="5"/>
  <c r="AE194" i="5"/>
  <c r="AD194" i="5"/>
  <c r="AC194" i="5"/>
  <c r="AB194" i="5"/>
  <c r="AA194" i="5"/>
  <c r="Z194" i="5"/>
  <c r="Y194" i="5"/>
  <c r="X194" i="5"/>
  <c r="W194" i="5"/>
  <c r="V194" i="5"/>
  <c r="AG193" i="5"/>
  <c r="AF193" i="5"/>
  <c r="AE193" i="5"/>
  <c r="AD193" i="5"/>
  <c r="AC193" i="5"/>
  <c r="AB193" i="5"/>
  <c r="AA193" i="5"/>
  <c r="Z193" i="5"/>
  <c r="Y193" i="5"/>
  <c r="X193" i="5"/>
  <c r="W193" i="5"/>
  <c r="V193" i="5"/>
  <c r="AG192" i="5"/>
  <c r="AF192" i="5"/>
  <c r="AE192" i="5"/>
  <c r="AD192" i="5"/>
  <c r="AC192" i="5"/>
  <c r="AB192" i="5"/>
  <c r="AA192" i="5"/>
  <c r="Z192" i="5"/>
  <c r="Y192" i="5"/>
  <c r="X192" i="5"/>
  <c r="W192" i="5"/>
  <c r="V192" i="5"/>
  <c r="AG191" i="5"/>
  <c r="AF191" i="5"/>
  <c r="AE191" i="5"/>
  <c r="AD191" i="5"/>
  <c r="AC191" i="5"/>
  <c r="AB191" i="5"/>
  <c r="AA191" i="5"/>
  <c r="Z191" i="5"/>
  <c r="Y191" i="5"/>
  <c r="X191" i="5"/>
  <c r="W191" i="5"/>
  <c r="V191" i="5"/>
  <c r="AD190" i="5"/>
  <c r="AC190" i="5"/>
  <c r="AB190" i="5"/>
  <c r="AA190" i="5"/>
  <c r="Z190" i="5"/>
  <c r="Y190" i="5"/>
  <c r="X190" i="5"/>
  <c r="W190" i="5"/>
  <c r="V190" i="5"/>
  <c r="AD189" i="5"/>
  <c r="AC189" i="5"/>
  <c r="AB189" i="5"/>
  <c r="AA189" i="5"/>
  <c r="Z189" i="5"/>
  <c r="Y189" i="5"/>
  <c r="X189" i="5"/>
  <c r="W189" i="5"/>
  <c r="V189" i="5"/>
  <c r="AD188" i="5"/>
  <c r="AC188" i="5"/>
  <c r="AB188" i="5"/>
  <c r="AA188" i="5"/>
  <c r="Z188" i="5"/>
  <c r="Y188" i="5"/>
  <c r="X188" i="5"/>
  <c r="W188" i="5"/>
  <c r="V188" i="5"/>
  <c r="AD187" i="5"/>
  <c r="AC187" i="5"/>
  <c r="AB187" i="5"/>
  <c r="AA187" i="5"/>
  <c r="Z187" i="5"/>
  <c r="Y187" i="5"/>
  <c r="X187" i="5"/>
  <c r="W187" i="5"/>
  <c r="V187" i="5"/>
  <c r="AD180" i="5"/>
  <c r="AC180" i="5"/>
  <c r="AB180" i="5"/>
  <c r="AA180" i="5"/>
  <c r="Z180" i="5"/>
  <c r="Y180" i="5"/>
  <c r="X180" i="5"/>
  <c r="W180" i="5"/>
  <c r="V180" i="5"/>
  <c r="AG179" i="5"/>
  <c r="AF179" i="5"/>
  <c r="AE179" i="5"/>
  <c r="AD179" i="5"/>
  <c r="AC179" i="5"/>
  <c r="AB179" i="5"/>
  <c r="AA179" i="5"/>
  <c r="Z179" i="5"/>
  <c r="Y179" i="5"/>
  <c r="X179" i="5"/>
  <c r="W179" i="5"/>
  <c r="V179" i="5"/>
  <c r="AG178" i="5"/>
  <c r="AF178" i="5"/>
  <c r="AE178" i="5"/>
  <c r="AD178" i="5"/>
  <c r="AC178" i="5"/>
  <c r="AB178" i="5"/>
  <c r="AA178" i="5"/>
  <c r="Z178" i="5"/>
  <c r="Y178" i="5"/>
  <c r="X178" i="5"/>
  <c r="W178" i="5"/>
  <c r="V178" i="5"/>
  <c r="AG177" i="5"/>
  <c r="AF177" i="5"/>
  <c r="AE177" i="5"/>
  <c r="AD177" i="5"/>
  <c r="AC177" i="5"/>
  <c r="AB177" i="5"/>
  <c r="AA177" i="5"/>
  <c r="Z177" i="5"/>
  <c r="Y177" i="5"/>
  <c r="X177" i="5"/>
  <c r="W177" i="5"/>
  <c r="V177" i="5"/>
  <c r="AG176" i="5"/>
  <c r="AF176" i="5"/>
  <c r="AE176" i="5"/>
  <c r="AD176" i="5"/>
  <c r="AC176" i="5"/>
  <c r="AB176" i="5"/>
  <c r="AA176" i="5"/>
  <c r="Z176" i="5"/>
  <c r="Y176" i="5"/>
  <c r="X176" i="5"/>
  <c r="W176" i="5"/>
  <c r="V176" i="5"/>
  <c r="AG175" i="5"/>
  <c r="AF175" i="5"/>
  <c r="AE175" i="5"/>
  <c r="AD175" i="5"/>
  <c r="AC175" i="5"/>
  <c r="AB175" i="5"/>
  <c r="AA175" i="5"/>
  <c r="Z175" i="5"/>
  <c r="Y175" i="5"/>
  <c r="X175" i="5"/>
  <c r="W175" i="5"/>
  <c r="V175" i="5"/>
  <c r="AG174" i="5"/>
  <c r="AF174" i="5"/>
  <c r="AE174" i="5"/>
  <c r="AD174" i="5"/>
  <c r="AC174" i="5"/>
  <c r="AB174" i="5"/>
  <c r="AA174" i="5"/>
  <c r="Z174" i="5"/>
  <c r="Y174" i="5"/>
  <c r="X174" i="5"/>
  <c r="W174" i="5"/>
  <c r="V174" i="5"/>
  <c r="AG173" i="5"/>
  <c r="AF173" i="5"/>
  <c r="AE173" i="5"/>
  <c r="AD173" i="5"/>
  <c r="AC173" i="5"/>
  <c r="AB173" i="5"/>
  <c r="AA173" i="5"/>
  <c r="Z173" i="5"/>
  <c r="Y173" i="5"/>
  <c r="AD172" i="5"/>
  <c r="AC172" i="5"/>
  <c r="AB172" i="5"/>
  <c r="AA172" i="5"/>
  <c r="Z172" i="5"/>
  <c r="Y172" i="5"/>
  <c r="X172" i="5"/>
  <c r="W172" i="5"/>
  <c r="V172" i="5"/>
  <c r="AD171" i="5"/>
  <c r="AC171" i="5"/>
  <c r="AB171" i="5"/>
  <c r="AA171" i="5"/>
  <c r="Z171" i="5"/>
  <c r="Y171" i="5"/>
  <c r="X171" i="5"/>
  <c r="W171" i="5"/>
  <c r="V171" i="5"/>
  <c r="AD170" i="5"/>
  <c r="AC170" i="5"/>
  <c r="AB170" i="5"/>
  <c r="AA170" i="5"/>
  <c r="Z170" i="5"/>
  <c r="Y170" i="5"/>
  <c r="X170" i="5"/>
  <c r="W170" i="5"/>
  <c r="V170" i="5"/>
  <c r="AD169" i="5"/>
  <c r="AC169" i="5"/>
  <c r="AB169" i="5"/>
  <c r="AA169" i="5"/>
  <c r="Z169" i="5"/>
  <c r="Y169" i="5"/>
  <c r="X169" i="5"/>
  <c r="W169" i="5"/>
  <c r="V169" i="5"/>
  <c r="AD168" i="5"/>
  <c r="AC168" i="5"/>
  <c r="AB168" i="5"/>
  <c r="AA168" i="5"/>
  <c r="Z168" i="5"/>
  <c r="Y168" i="5"/>
  <c r="X168" i="5"/>
  <c r="W168" i="5"/>
  <c r="V168" i="5"/>
  <c r="AD167" i="5"/>
  <c r="AC167" i="5"/>
  <c r="AB167" i="5"/>
  <c r="AA167" i="5"/>
  <c r="Z167" i="5"/>
  <c r="Y167" i="5"/>
  <c r="X167" i="5"/>
  <c r="W167" i="5"/>
  <c r="V167" i="5"/>
  <c r="AD166" i="5"/>
  <c r="AC166" i="5"/>
  <c r="AB166" i="5"/>
  <c r="AA166" i="5"/>
  <c r="Z166" i="5"/>
  <c r="Y166" i="5"/>
  <c r="X166" i="5"/>
  <c r="W166" i="5"/>
  <c r="V166" i="5"/>
  <c r="AD165" i="5"/>
  <c r="AC165" i="5"/>
  <c r="AB165" i="5"/>
  <c r="AA165" i="5"/>
  <c r="Z165" i="5"/>
  <c r="Y165" i="5"/>
  <c r="X165" i="5"/>
  <c r="W165" i="5"/>
  <c r="V165" i="5"/>
  <c r="AD164" i="5"/>
  <c r="AC164" i="5"/>
  <c r="AB164" i="5"/>
  <c r="AA164" i="5"/>
  <c r="Z164" i="5"/>
  <c r="Y164" i="5"/>
  <c r="X164" i="5"/>
  <c r="W164" i="5"/>
  <c r="V164" i="5"/>
  <c r="AG163" i="5"/>
  <c r="AF163" i="5"/>
  <c r="AE163" i="5"/>
  <c r="AD163" i="5"/>
  <c r="AC163" i="5"/>
  <c r="AB163" i="5"/>
  <c r="AA163" i="5"/>
  <c r="Z163" i="5"/>
  <c r="Y163" i="5"/>
  <c r="X163" i="5"/>
  <c r="W163" i="5"/>
  <c r="V163" i="5"/>
  <c r="AG162" i="5"/>
  <c r="AF162" i="5"/>
  <c r="AE162" i="5"/>
  <c r="AD162" i="5"/>
  <c r="AC162" i="5"/>
  <c r="AB162" i="5"/>
  <c r="AA162" i="5"/>
  <c r="Z162" i="5"/>
  <c r="Y162" i="5"/>
  <c r="X162" i="5"/>
  <c r="W162" i="5"/>
  <c r="V162" i="5"/>
  <c r="AG161" i="5"/>
  <c r="AF161" i="5"/>
  <c r="AE161" i="5"/>
  <c r="AD161" i="5"/>
  <c r="AC161" i="5"/>
  <c r="AB161" i="5"/>
  <c r="AA161" i="5"/>
  <c r="Z161" i="5"/>
  <c r="Y161" i="5"/>
  <c r="X161" i="5"/>
  <c r="W161" i="5"/>
  <c r="V161" i="5"/>
  <c r="AD160" i="5"/>
  <c r="AC160" i="5"/>
  <c r="AB160" i="5"/>
  <c r="AA160" i="5"/>
  <c r="Z160" i="5"/>
  <c r="Y160" i="5"/>
  <c r="X160" i="5"/>
  <c r="W160" i="5"/>
  <c r="V160" i="5"/>
  <c r="AD159" i="5"/>
  <c r="AC159" i="5"/>
  <c r="AB159" i="5"/>
  <c r="AA159" i="5"/>
  <c r="Z159" i="5"/>
  <c r="Y159" i="5"/>
  <c r="X159" i="5"/>
  <c r="W159" i="5"/>
  <c r="V159" i="5"/>
  <c r="AD158" i="5"/>
  <c r="AC158" i="5"/>
  <c r="AB158" i="5"/>
  <c r="AA158" i="5"/>
  <c r="Z158" i="5"/>
  <c r="Y158" i="5"/>
  <c r="X158" i="5"/>
  <c r="W158" i="5"/>
  <c r="V158" i="5"/>
  <c r="AD157" i="5"/>
  <c r="AC157" i="5"/>
  <c r="AB157" i="5"/>
  <c r="AA157" i="5"/>
  <c r="Z157" i="5"/>
  <c r="Y157" i="5"/>
  <c r="X157" i="5"/>
  <c r="W157" i="5"/>
  <c r="V157" i="5"/>
  <c r="AD156" i="5"/>
  <c r="AC156" i="5"/>
  <c r="AB156" i="5"/>
  <c r="AA156" i="5"/>
  <c r="Z156" i="5"/>
  <c r="Y156" i="5"/>
  <c r="X156" i="5"/>
  <c r="W156" i="5"/>
  <c r="V156" i="5"/>
  <c r="AD155" i="5"/>
  <c r="AC155" i="5"/>
  <c r="AB155" i="5"/>
  <c r="AA155" i="5"/>
  <c r="Z155" i="5"/>
  <c r="Y155" i="5"/>
  <c r="X155" i="5"/>
  <c r="W155" i="5"/>
  <c r="V155" i="5"/>
  <c r="AD154" i="5"/>
  <c r="AC154" i="5"/>
  <c r="AB154" i="5"/>
  <c r="AA154" i="5"/>
  <c r="Z154" i="5"/>
  <c r="Y154" i="5"/>
  <c r="X154" i="5"/>
  <c r="W154" i="5"/>
  <c r="V154" i="5"/>
  <c r="AD153" i="5"/>
  <c r="AC153" i="5"/>
  <c r="AB153" i="5"/>
  <c r="AA153" i="5"/>
  <c r="Z153" i="5"/>
  <c r="Y153" i="5"/>
  <c r="X153" i="5"/>
  <c r="W153" i="5"/>
  <c r="V153" i="5"/>
  <c r="AD152" i="5"/>
  <c r="AC152" i="5"/>
  <c r="AB152" i="5"/>
  <c r="AA152" i="5"/>
  <c r="Z152" i="5"/>
  <c r="Y152" i="5"/>
  <c r="X152" i="5"/>
  <c r="W152" i="5"/>
  <c r="V152" i="5"/>
  <c r="AD151" i="5"/>
  <c r="AC151" i="5"/>
  <c r="AB151" i="5"/>
  <c r="AA151" i="5"/>
  <c r="Z151" i="5"/>
  <c r="Y151" i="5"/>
  <c r="X151" i="5"/>
  <c r="W151" i="5"/>
  <c r="V151" i="5"/>
  <c r="AD150" i="5"/>
  <c r="AC150" i="5"/>
  <c r="AB150" i="5"/>
  <c r="AA150" i="5"/>
  <c r="Z150" i="5"/>
  <c r="Y150" i="5"/>
  <c r="X150" i="5"/>
  <c r="W150" i="5"/>
  <c r="V150" i="5"/>
  <c r="AD149" i="5"/>
  <c r="AC149" i="5"/>
  <c r="AB149" i="5"/>
  <c r="AA149" i="5"/>
  <c r="Z149" i="5"/>
  <c r="Y149" i="5"/>
  <c r="X149" i="5"/>
  <c r="W149" i="5"/>
  <c r="V149" i="5"/>
  <c r="AD148" i="5"/>
  <c r="AC148" i="5"/>
  <c r="AB148" i="5"/>
  <c r="AA148" i="5"/>
  <c r="Z148" i="5"/>
  <c r="Y148" i="5"/>
  <c r="X148" i="5"/>
  <c r="W148" i="5"/>
  <c r="V148" i="5"/>
  <c r="AD147" i="5"/>
  <c r="AC147" i="5"/>
  <c r="AB147" i="5"/>
  <c r="AA147" i="5"/>
  <c r="Z147" i="5"/>
  <c r="Y147" i="5"/>
  <c r="X147" i="5"/>
  <c r="W147" i="5"/>
  <c r="V147" i="5"/>
  <c r="AD146" i="5"/>
  <c r="AC146" i="5"/>
  <c r="AB146" i="5"/>
  <c r="AA146" i="5"/>
  <c r="Z146" i="5"/>
  <c r="Y146" i="5"/>
  <c r="X146" i="5"/>
  <c r="W146" i="5"/>
  <c r="V146" i="5"/>
  <c r="AD145" i="5"/>
  <c r="AC145" i="5"/>
  <c r="AB145" i="5"/>
  <c r="AA145" i="5"/>
  <c r="Z145" i="5"/>
  <c r="Y145" i="5"/>
  <c r="X145" i="5"/>
  <c r="W145" i="5"/>
  <c r="V145" i="5"/>
  <c r="AD144" i="5"/>
  <c r="AC144" i="5"/>
  <c r="AB144" i="5"/>
  <c r="AA144" i="5"/>
  <c r="Z144" i="5"/>
  <c r="Y144" i="5"/>
  <c r="X144" i="5"/>
  <c r="W144" i="5"/>
  <c r="V144" i="5"/>
  <c r="AG143" i="5"/>
  <c r="AF143" i="5"/>
  <c r="AE143" i="5"/>
  <c r="AD143" i="5"/>
  <c r="AC143" i="5"/>
  <c r="AB143" i="5"/>
  <c r="AA143" i="5"/>
  <c r="Z143" i="5"/>
  <c r="Y143" i="5"/>
  <c r="X143" i="5"/>
  <c r="W143" i="5"/>
  <c r="V143" i="5"/>
  <c r="AD142" i="5"/>
  <c r="AC142" i="5"/>
  <c r="AB142" i="5"/>
  <c r="AA142" i="5"/>
  <c r="Z142" i="5"/>
  <c r="Y142" i="5"/>
  <c r="X142" i="5"/>
  <c r="W142" i="5"/>
  <c r="V142" i="5"/>
  <c r="AD141" i="5"/>
  <c r="AC141" i="5"/>
  <c r="AB141" i="5"/>
  <c r="AA141" i="5"/>
  <c r="Z141" i="5"/>
  <c r="Y141" i="5"/>
  <c r="X141" i="5"/>
  <c r="W141" i="5"/>
  <c r="V141" i="5"/>
  <c r="AD140" i="5"/>
  <c r="AC140" i="5"/>
  <c r="AB140" i="5"/>
  <c r="AA140" i="5"/>
  <c r="Z140" i="5"/>
  <c r="Y140" i="5"/>
  <c r="X140" i="5"/>
  <c r="W140" i="5"/>
  <c r="V140" i="5"/>
  <c r="AD139" i="5"/>
  <c r="AC139" i="5"/>
  <c r="AB139" i="5"/>
  <c r="AA139" i="5"/>
  <c r="Z139" i="5"/>
  <c r="Y139" i="5"/>
  <c r="X139" i="5"/>
  <c r="W139" i="5"/>
  <c r="V139" i="5"/>
  <c r="AD138" i="5"/>
  <c r="AC138" i="5"/>
  <c r="AB138" i="5"/>
  <c r="AA138" i="5"/>
  <c r="Z138" i="5"/>
  <c r="Y138" i="5"/>
  <c r="X138" i="5"/>
  <c r="W138" i="5"/>
  <c r="V138" i="5"/>
  <c r="AD137" i="5"/>
  <c r="AC137" i="5"/>
  <c r="AB137" i="5"/>
  <c r="AA137" i="5"/>
  <c r="Z137" i="5"/>
  <c r="Y137" i="5"/>
  <c r="X137" i="5"/>
  <c r="W137" i="5"/>
  <c r="V137" i="5"/>
  <c r="AD136" i="5"/>
  <c r="AC136" i="5"/>
  <c r="AB136" i="5"/>
  <c r="AA136" i="5"/>
  <c r="Z136" i="5"/>
  <c r="Y136" i="5"/>
  <c r="X136" i="5"/>
  <c r="W136" i="5"/>
  <c r="V136" i="5"/>
  <c r="AD135" i="5"/>
  <c r="AC135" i="5"/>
  <c r="AB135" i="5"/>
  <c r="AA135" i="5"/>
  <c r="Z135" i="5"/>
  <c r="Y135" i="5"/>
  <c r="X135" i="5"/>
  <c r="W135" i="5"/>
  <c r="V135" i="5"/>
  <c r="AD134" i="5"/>
  <c r="AC134" i="5"/>
  <c r="AB134" i="5"/>
  <c r="AA134" i="5"/>
  <c r="Z134" i="5"/>
  <c r="Y134" i="5"/>
  <c r="X134" i="5"/>
  <c r="W134" i="5"/>
  <c r="V134" i="5"/>
  <c r="AD133" i="5"/>
  <c r="AC133" i="5"/>
  <c r="AB133" i="5"/>
  <c r="AA133" i="5"/>
  <c r="Z133" i="5"/>
  <c r="Y133" i="5"/>
  <c r="X133" i="5"/>
  <c r="W133" i="5"/>
  <c r="V133" i="5"/>
  <c r="AG132" i="5"/>
  <c r="AF132" i="5"/>
  <c r="AE132" i="5"/>
  <c r="AD132" i="5"/>
  <c r="AC132" i="5"/>
  <c r="AB132" i="5"/>
  <c r="AA132" i="5"/>
  <c r="Z132" i="5"/>
  <c r="Y132" i="5"/>
  <c r="X132" i="5"/>
  <c r="W132" i="5"/>
  <c r="V132" i="5"/>
  <c r="AG131" i="5"/>
  <c r="AF131" i="5"/>
  <c r="AE131" i="5"/>
  <c r="AD131" i="5"/>
  <c r="AC131" i="5"/>
  <c r="AB131" i="5"/>
  <c r="AA131" i="5"/>
  <c r="Z131" i="5"/>
  <c r="Y131" i="5"/>
  <c r="X131" i="5"/>
  <c r="W131" i="5"/>
  <c r="V131" i="5"/>
  <c r="AG130" i="5"/>
  <c r="AF130" i="5"/>
  <c r="AE130" i="5"/>
  <c r="AD130" i="5"/>
  <c r="AC130" i="5"/>
  <c r="AB130" i="5"/>
  <c r="AA130" i="5"/>
  <c r="Z130" i="5"/>
  <c r="Y130" i="5"/>
  <c r="X130" i="5"/>
  <c r="W130" i="5"/>
  <c r="V130" i="5"/>
  <c r="AG129" i="5"/>
  <c r="AF129" i="5"/>
  <c r="AE129" i="5"/>
  <c r="AD129" i="5"/>
  <c r="AC129" i="5"/>
  <c r="AB129" i="5"/>
  <c r="AA129" i="5"/>
  <c r="Z129" i="5"/>
  <c r="Y129" i="5"/>
  <c r="X129" i="5"/>
  <c r="W129" i="5"/>
  <c r="V129" i="5"/>
  <c r="AG128" i="5"/>
  <c r="AF128" i="5"/>
  <c r="AE128" i="5"/>
  <c r="AD128" i="5"/>
  <c r="AC128" i="5"/>
  <c r="AB128" i="5"/>
  <c r="AA128" i="5"/>
  <c r="Z128" i="5"/>
  <c r="Y128" i="5"/>
  <c r="X128" i="5"/>
  <c r="W128" i="5"/>
  <c r="V128" i="5"/>
  <c r="AG127" i="5"/>
  <c r="AF127" i="5"/>
  <c r="AE127" i="5"/>
  <c r="AD127" i="5"/>
  <c r="AC127" i="5"/>
  <c r="AB127" i="5"/>
  <c r="AA127" i="5"/>
  <c r="Z127" i="5"/>
  <c r="Y127" i="5"/>
  <c r="X127" i="5"/>
  <c r="W127" i="5"/>
  <c r="V127" i="5"/>
  <c r="AG126" i="5"/>
  <c r="AF126" i="5"/>
  <c r="AE126" i="5"/>
  <c r="AD126" i="5"/>
  <c r="AC126" i="5"/>
  <c r="AB126" i="5"/>
  <c r="AA126" i="5"/>
  <c r="Z126" i="5"/>
  <c r="Y126" i="5"/>
  <c r="X126" i="5"/>
  <c r="W126" i="5"/>
  <c r="V126" i="5"/>
  <c r="AG125" i="5"/>
  <c r="AF125" i="5"/>
  <c r="AE125" i="5"/>
  <c r="AD125" i="5"/>
  <c r="AC125" i="5"/>
  <c r="AB125" i="5"/>
  <c r="AA125" i="5"/>
  <c r="Z125" i="5"/>
  <c r="Y125" i="5"/>
  <c r="X125" i="5"/>
  <c r="W125" i="5"/>
  <c r="V125" i="5"/>
  <c r="AG124" i="5"/>
  <c r="AF124" i="5"/>
  <c r="AE124" i="5"/>
  <c r="AD124" i="5"/>
  <c r="AC124" i="5"/>
  <c r="AB124" i="5"/>
  <c r="AA124" i="5"/>
  <c r="Z124" i="5"/>
  <c r="Y124" i="5"/>
  <c r="X124" i="5"/>
  <c r="W124" i="5"/>
  <c r="V124" i="5"/>
  <c r="AG123" i="5"/>
  <c r="AF123" i="5"/>
  <c r="AE123" i="5"/>
  <c r="AD123" i="5"/>
  <c r="AC123" i="5"/>
  <c r="AB123" i="5"/>
  <c r="AA123" i="5"/>
  <c r="Z123" i="5"/>
  <c r="Y123" i="5"/>
  <c r="X123" i="5"/>
  <c r="W123" i="5"/>
  <c r="V123" i="5"/>
  <c r="AG122" i="5"/>
  <c r="AF122" i="5"/>
  <c r="AE122" i="5"/>
  <c r="AD122" i="5"/>
  <c r="AC122" i="5"/>
  <c r="AB122" i="5"/>
  <c r="AA122" i="5"/>
  <c r="Z122" i="5"/>
  <c r="Y122" i="5"/>
  <c r="X122" i="5"/>
  <c r="W122" i="5"/>
  <c r="V122" i="5"/>
  <c r="AG121" i="5"/>
  <c r="AF121" i="5"/>
  <c r="AE121" i="5"/>
  <c r="AD121" i="5"/>
  <c r="AC121" i="5"/>
  <c r="AB121" i="5"/>
  <c r="AA121" i="5"/>
  <c r="Z121" i="5"/>
  <c r="Y121" i="5"/>
  <c r="X121" i="5"/>
  <c r="W121" i="5"/>
  <c r="V121" i="5"/>
  <c r="AG120" i="5"/>
  <c r="AF120" i="5"/>
  <c r="AE120" i="5"/>
  <c r="AD120" i="5"/>
  <c r="AC120" i="5"/>
  <c r="AB120" i="5"/>
  <c r="AA120" i="5"/>
  <c r="Z120" i="5"/>
  <c r="Y120" i="5"/>
  <c r="X120" i="5"/>
  <c r="W120" i="5"/>
  <c r="V120" i="5"/>
  <c r="AG119" i="5"/>
  <c r="AF119" i="5"/>
  <c r="AE119" i="5"/>
  <c r="AD119" i="5"/>
  <c r="AC119" i="5"/>
  <c r="AB119" i="5"/>
  <c r="AA119" i="5"/>
  <c r="Z119" i="5"/>
  <c r="Y119" i="5"/>
  <c r="X119" i="5"/>
  <c r="W119" i="5"/>
  <c r="V119" i="5"/>
  <c r="AG118" i="5"/>
  <c r="AF118" i="5"/>
  <c r="AE118" i="5"/>
  <c r="AD118" i="5"/>
  <c r="AC118" i="5"/>
  <c r="AB118" i="5"/>
  <c r="AA118" i="5"/>
  <c r="Z118" i="5"/>
  <c r="Y118" i="5"/>
  <c r="X118" i="5"/>
  <c r="W118" i="5"/>
  <c r="V118" i="5"/>
  <c r="AG117" i="5"/>
  <c r="AF117" i="5"/>
  <c r="AE117" i="5"/>
  <c r="AD117" i="5"/>
  <c r="AC117" i="5"/>
  <c r="AB117" i="5"/>
  <c r="AA117" i="5"/>
  <c r="Z117" i="5"/>
  <c r="Y117" i="5"/>
  <c r="X117" i="5"/>
  <c r="W117" i="5"/>
  <c r="V117" i="5"/>
  <c r="AG116" i="5"/>
  <c r="AF116" i="5"/>
  <c r="AE116" i="5"/>
  <c r="AD116" i="5"/>
  <c r="AC116" i="5"/>
  <c r="AB116" i="5"/>
  <c r="AA116" i="5"/>
  <c r="Z116" i="5"/>
  <c r="Y116" i="5"/>
  <c r="X116" i="5"/>
  <c r="W116" i="5"/>
  <c r="V116" i="5"/>
  <c r="AG115" i="5"/>
  <c r="AF115" i="5"/>
  <c r="AE115" i="5"/>
  <c r="AD115" i="5"/>
  <c r="AC115" i="5"/>
  <c r="AB115" i="5"/>
  <c r="AA115" i="5"/>
  <c r="Z115" i="5"/>
  <c r="Y115" i="5"/>
  <c r="X115" i="5"/>
  <c r="W115" i="5"/>
  <c r="V115" i="5"/>
  <c r="AG114" i="5"/>
  <c r="AF114" i="5"/>
  <c r="AE114" i="5"/>
  <c r="AD114" i="5"/>
  <c r="AC114" i="5"/>
  <c r="AB114" i="5"/>
  <c r="AA114" i="5"/>
  <c r="Z114" i="5"/>
  <c r="Y114" i="5"/>
  <c r="X114" i="5"/>
  <c r="W114" i="5"/>
  <c r="V114" i="5"/>
  <c r="AG113" i="5"/>
  <c r="AF113" i="5"/>
  <c r="AE113" i="5"/>
  <c r="AD113" i="5"/>
  <c r="AC113" i="5"/>
  <c r="AB113" i="5"/>
  <c r="AA113" i="5"/>
  <c r="Z113" i="5"/>
  <c r="Y113" i="5"/>
  <c r="X113" i="5"/>
  <c r="W113" i="5"/>
  <c r="V113" i="5"/>
  <c r="AG112" i="5"/>
  <c r="AF112" i="5"/>
  <c r="AE112" i="5"/>
  <c r="AD112" i="5"/>
  <c r="AC112" i="5"/>
  <c r="AB112" i="5"/>
  <c r="AA112" i="5"/>
  <c r="Z112" i="5"/>
  <c r="Y112" i="5"/>
  <c r="X112" i="5"/>
  <c r="W112" i="5"/>
  <c r="V112" i="5"/>
  <c r="AG111" i="5"/>
  <c r="AF111" i="5"/>
  <c r="AE111" i="5"/>
  <c r="AD111" i="5"/>
  <c r="AC111" i="5"/>
  <c r="AB111" i="5"/>
  <c r="AA111" i="5"/>
  <c r="Z111" i="5"/>
  <c r="Y111" i="5"/>
  <c r="X111" i="5"/>
  <c r="W111" i="5"/>
  <c r="V111" i="5"/>
  <c r="AG110" i="5"/>
  <c r="AF110" i="5"/>
  <c r="AE110" i="5"/>
  <c r="AD110" i="5"/>
  <c r="AC110" i="5"/>
  <c r="AB110" i="5"/>
  <c r="AA110" i="5"/>
  <c r="Z110" i="5"/>
  <c r="Y110" i="5"/>
  <c r="X110" i="5"/>
  <c r="W110" i="5"/>
  <c r="V110" i="5"/>
  <c r="AG109" i="5"/>
  <c r="AF109" i="5"/>
  <c r="AE109" i="5"/>
  <c r="AD109" i="5"/>
  <c r="AC109" i="5"/>
  <c r="AB109" i="5"/>
  <c r="AA109" i="5"/>
  <c r="Z109" i="5"/>
  <c r="Y109" i="5"/>
  <c r="X109" i="5"/>
  <c r="W109" i="5"/>
  <c r="V109" i="5"/>
  <c r="AG108" i="5"/>
  <c r="AF108" i="5"/>
  <c r="AE108" i="5"/>
  <c r="AD108" i="5"/>
  <c r="AC108" i="5"/>
  <c r="AB108" i="5"/>
  <c r="AA108" i="5"/>
  <c r="Z108" i="5"/>
  <c r="Y108" i="5"/>
  <c r="X108" i="5"/>
  <c r="W108" i="5"/>
  <c r="V108" i="5"/>
  <c r="AG107" i="5"/>
  <c r="AF107" i="5"/>
  <c r="AE107" i="5"/>
  <c r="AD107" i="5"/>
  <c r="AC107" i="5"/>
  <c r="AB107" i="5"/>
  <c r="AA107" i="5"/>
  <c r="Z107" i="5"/>
  <c r="Y107" i="5"/>
  <c r="X107" i="5"/>
  <c r="W107" i="5"/>
  <c r="V107" i="5"/>
  <c r="AG106" i="5"/>
  <c r="AF106" i="5"/>
  <c r="AE106" i="5"/>
  <c r="AD106" i="5"/>
  <c r="AC106" i="5"/>
  <c r="AB106" i="5"/>
  <c r="AA106" i="5"/>
  <c r="Z106" i="5"/>
  <c r="Y106" i="5"/>
  <c r="X106" i="5"/>
  <c r="W106" i="5"/>
  <c r="V106" i="5"/>
  <c r="AG105" i="5"/>
  <c r="AF105" i="5"/>
  <c r="AE105" i="5"/>
  <c r="AD105" i="5"/>
  <c r="AC105" i="5"/>
  <c r="AB105" i="5"/>
  <c r="AA105" i="5"/>
  <c r="Z105" i="5"/>
  <c r="Y105" i="5"/>
  <c r="X105" i="5"/>
  <c r="W105" i="5"/>
  <c r="V105" i="5"/>
  <c r="AG104" i="5"/>
  <c r="AF104" i="5"/>
  <c r="AE104" i="5"/>
  <c r="AD104" i="5"/>
  <c r="AC104" i="5"/>
  <c r="AB104" i="5"/>
  <c r="AA104" i="5"/>
  <c r="Z104" i="5"/>
  <c r="Y104" i="5"/>
  <c r="X104" i="5"/>
  <c r="W104" i="5"/>
  <c r="V104" i="5"/>
  <c r="AG103" i="5"/>
  <c r="AF103" i="5"/>
  <c r="AE103" i="5"/>
  <c r="AD103" i="5"/>
  <c r="AC103" i="5"/>
  <c r="AB103" i="5"/>
  <c r="AA103" i="5"/>
  <c r="Z103" i="5"/>
  <c r="Y103" i="5"/>
  <c r="X103" i="5"/>
  <c r="W103" i="5"/>
  <c r="V103" i="5"/>
  <c r="AG102" i="5"/>
  <c r="AF102" i="5"/>
  <c r="AE102" i="5"/>
  <c r="AD102" i="5"/>
  <c r="AC102" i="5"/>
  <c r="AB102" i="5"/>
  <c r="AA102" i="5"/>
  <c r="Z102" i="5"/>
  <c r="Y102" i="5"/>
  <c r="X102" i="5"/>
  <c r="W102" i="5"/>
  <c r="V102" i="5"/>
  <c r="AG101" i="5"/>
  <c r="AF101" i="5"/>
  <c r="AE101" i="5"/>
  <c r="AD101" i="5"/>
  <c r="AC101" i="5"/>
  <c r="AB101" i="5"/>
  <c r="AA101" i="5"/>
  <c r="Z101" i="5"/>
  <c r="Y101" i="5"/>
  <c r="X101" i="5"/>
  <c r="W101" i="5"/>
  <c r="V101" i="5"/>
  <c r="AG100" i="5"/>
  <c r="AF100" i="5"/>
  <c r="AE100" i="5"/>
  <c r="AD100" i="5"/>
  <c r="AC100" i="5"/>
  <c r="AB100" i="5"/>
  <c r="AA100" i="5"/>
  <c r="Z100" i="5"/>
  <c r="Y100" i="5"/>
  <c r="X100" i="5"/>
  <c r="W100" i="5"/>
  <c r="V100" i="5"/>
  <c r="AG99" i="5"/>
  <c r="AF99" i="5"/>
  <c r="AE99" i="5"/>
  <c r="AD99" i="5"/>
  <c r="AC99" i="5"/>
  <c r="AB99" i="5"/>
  <c r="AA99" i="5"/>
  <c r="Z99" i="5"/>
  <c r="Y99" i="5"/>
  <c r="X99" i="5"/>
  <c r="W99" i="5"/>
  <c r="V99" i="5"/>
  <c r="AG98" i="5"/>
  <c r="AF98" i="5"/>
  <c r="AE98" i="5"/>
  <c r="AD98" i="5"/>
  <c r="AC98" i="5"/>
  <c r="AB98" i="5"/>
  <c r="AA98" i="5"/>
  <c r="Z98" i="5"/>
  <c r="Y98" i="5"/>
  <c r="X98" i="5"/>
  <c r="W98" i="5"/>
  <c r="V98" i="5"/>
  <c r="AG97" i="5"/>
  <c r="AF97" i="5"/>
  <c r="AE97" i="5"/>
  <c r="AD97" i="5"/>
  <c r="AC97" i="5"/>
  <c r="AB97" i="5"/>
  <c r="AA97" i="5"/>
  <c r="Z97" i="5"/>
  <c r="Y97" i="5"/>
  <c r="X97" i="5"/>
  <c r="W97" i="5"/>
  <c r="V97" i="5"/>
  <c r="AG96" i="5"/>
  <c r="AF96" i="5"/>
  <c r="AE96" i="5"/>
  <c r="AD96" i="5"/>
  <c r="AC96" i="5"/>
  <c r="AB96" i="5"/>
  <c r="AA96" i="5"/>
  <c r="Z96" i="5"/>
  <c r="Y96" i="5"/>
  <c r="X96" i="5"/>
  <c r="W96" i="5"/>
  <c r="V96" i="5"/>
  <c r="AG95" i="5"/>
  <c r="AF95" i="5"/>
  <c r="AE95" i="5"/>
  <c r="AD95" i="5"/>
  <c r="AC95" i="5"/>
  <c r="AB95" i="5"/>
  <c r="AA95" i="5"/>
  <c r="Z95" i="5"/>
  <c r="Y95" i="5"/>
  <c r="X95" i="5"/>
  <c r="W95" i="5"/>
  <c r="V95" i="5"/>
  <c r="AG94" i="5"/>
  <c r="AF94" i="5"/>
  <c r="AE94" i="5"/>
  <c r="AD94" i="5"/>
  <c r="AC94" i="5"/>
  <c r="AB94" i="5"/>
  <c r="AA94" i="5"/>
  <c r="Z94" i="5"/>
  <c r="Y94" i="5"/>
  <c r="X94" i="5"/>
  <c r="W94" i="5"/>
  <c r="V94" i="5"/>
  <c r="AG93" i="5"/>
  <c r="AF93" i="5"/>
  <c r="AE93" i="5"/>
  <c r="AD93" i="5"/>
  <c r="AC93" i="5"/>
  <c r="AB93" i="5"/>
  <c r="AA93" i="5"/>
  <c r="Z93" i="5"/>
  <c r="Y93" i="5"/>
  <c r="X93" i="5"/>
  <c r="W93" i="5"/>
  <c r="V93" i="5"/>
  <c r="AG92" i="5"/>
  <c r="AF92" i="5"/>
  <c r="AE92" i="5"/>
  <c r="AD92" i="5"/>
  <c r="AC92" i="5"/>
  <c r="AB92" i="5"/>
  <c r="AA92" i="5"/>
  <c r="Z92" i="5"/>
  <c r="Y92" i="5"/>
  <c r="X92" i="5"/>
  <c r="W92" i="5"/>
  <c r="V92" i="5"/>
  <c r="AG91" i="5"/>
  <c r="AF91" i="5"/>
  <c r="AE91" i="5"/>
  <c r="AD91" i="5"/>
  <c r="AC91" i="5"/>
  <c r="AB91" i="5"/>
  <c r="AA91" i="5"/>
  <c r="Z91" i="5"/>
  <c r="Y91" i="5"/>
  <c r="X91" i="5"/>
  <c r="W91" i="5"/>
  <c r="V91" i="5"/>
  <c r="AG90" i="5"/>
  <c r="AF90" i="5"/>
  <c r="AE90" i="5"/>
  <c r="AD90" i="5"/>
  <c r="AC90" i="5"/>
  <c r="AB90" i="5"/>
  <c r="AA90" i="5"/>
  <c r="Z90" i="5"/>
  <c r="Y90" i="5"/>
  <c r="X90" i="5"/>
  <c r="W90" i="5"/>
  <c r="V90" i="5"/>
  <c r="AG89" i="5"/>
  <c r="AF89" i="5"/>
  <c r="AE89" i="5"/>
  <c r="AD89" i="5"/>
  <c r="AC89" i="5"/>
  <c r="AB89" i="5"/>
  <c r="AA89" i="5"/>
  <c r="Z89" i="5"/>
  <c r="Y89" i="5"/>
  <c r="X89" i="5"/>
  <c r="W89" i="5"/>
  <c r="V89" i="5"/>
  <c r="AG88" i="5"/>
  <c r="AF88" i="5"/>
  <c r="AE88" i="5"/>
  <c r="AD88" i="5"/>
  <c r="AC88" i="5"/>
  <c r="AB88" i="5"/>
  <c r="AA88" i="5"/>
  <c r="Z88" i="5"/>
  <c r="Y88" i="5"/>
  <c r="X88" i="5"/>
  <c r="W88" i="5"/>
  <c r="V88" i="5"/>
  <c r="AG87" i="5"/>
  <c r="AF87" i="5"/>
  <c r="AE87" i="5"/>
  <c r="AD87" i="5"/>
  <c r="AC87" i="5"/>
  <c r="AB87" i="5"/>
  <c r="AA87" i="5"/>
  <c r="Z87" i="5"/>
  <c r="Y87" i="5"/>
  <c r="X87" i="5"/>
  <c r="W87" i="5"/>
  <c r="V87" i="5"/>
  <c r="AG86" i="5"/>
  <c r="AF86" i="5"/>
  <c r="AE86" i="5"/>
  <c r="AD86" i="5"/>
  <c r="AC86" i="5"/>
  <c r="AB86" i="5"/>
  <c r="AA86" i="5"/>
  <c r="Z86" i="5"/>
  <c r="Y86" i="5"/>
  <c r="X86" i="5"/>
  <c r="W86" i="5"/>
  <c r="V86" i="5"/>
  <c r="AG85" i="5"/>
  <c r="AF85" i="5"/>
  <c r="AE85" i="5"/>
  <c r="AD85" i="5"/>
  <c r="AC85" i="5"/>
  <c r="AB85" i="5"/>
  <c r="AA85" i="5"/>
  <c r="Z85" i="5"/>
  <c r="Y85" i="5"/>
  <c r="X85" i="5"/>
  <c r="W85" i="5"/>
  <c r="V85" i="5"/>
  <c r="AG84" i="5"/>
  <c r="AF84" i="5"/>
  <c r="AE84" i="5"/>
  <c r="AD84" i="5"/>
  <c r="AC84" i="5"/>
  <c r="AB84" i="5"/>
  <c r="AA84" i="5"/>
  <c r="Z84" i="5"/>
  <c r="Y84" i="5"/>
  <c r="X84" i="5"/>
  <c r="W84" i="5"/>
  <c r="V84" i="5"/>
  <c r="AG83" i="5"/>
  <c r="AF83" i="5"/>
  <c r="AE83" i="5"/>
  <c r="AD83" i="5"/>
  <c r="AC83" i="5"/>
  <c r="AB83" i="5"/>
  <c r="AA83" i="5"/>
  <c r="Z83" i="5"/>
  <c r="Y83" i="5"/>
  <c r="X83" i="5"/>
  <c r="W83" i="5"/>
  <c r="V83" i="5"/>
  <c r="AG82" i="5"/>
  <c r="AF82" i="5"/>
  <c r="AE82" i="5"/>
  <c r="AD82" i="5"/>
  <c r="AC82" i="5"/>
  <c r="AB82" i="5"/>
  <c r="AA82" i="5"/>
  <c r="Z82" i="5"/>
  <c r="Y82" i="5"/>
  <c r="X82" i="5"/>
  <c r="W82" i="5"/>
  <c r="V82" i="5"/>
  <c r="AG81" i="5"/>
  <c r="AF81" i="5"/>
  <c r="AE81" i="5"/>
  <c r="AD81" i="5"/>
  <c r="AC81" i="5"/>
  <c r="AB81" i="5"/>
  <c r="AA81" i="5"/>
  <c r="Z81" i="5"/>
  <c r="Y81" i="5"/>
  <c r="X81" i="5"/>
  <c r="W81" i="5"/>
  <c r="V81" i="5"/>
  <c r="AG80" i="5"/>
  <c r="AF80" i="5"/>
  <c r="AE80" i="5"/>
  <c r="AD80" i="5"/>
  <c r="AC80" i="5"/>
  <c r="AB80" i="5"/>
  <c r="AA80" i="5"/>
  <c r="Z80" i="5"/>
  <c r="Y80" i="5"/>
  <c r="X80" i="5"/>
  <c r="W80" i="5"/>
  <c r="V80" i="5"/>
  <c r="AG79" i="5"/>
  <c r="AF79" i="5"/>
  <c r="AE79" i="5"/>
  <c r="AD79" i="5"/>
  <c r="AC79" i="5"/>
  <c r="AB79" i="5"/>
  <c r="AA79" i="5"/>
  <c r="Z79" i="5"/>
  <c r="Y79" i="5"/>
  <c r="X79" i="5"/>
  <c r="W79" i="5"/>
  <c r="V79" i="5"/>
  <c r="AG78" i="5"/>
  <c r="AF78" i="5"/>
  <c r="AE78" i="5"/>
  <c r="AD78" i="5"/>
  <c r="AC78" i="5"/>
  <c r="AB78" i="5"/>
  <c r="AA78" i="5"/>
  <c r="Z78" i="5"/>
  <c r="Y78" i="5"/>
  <c r="X78" i="5"/>
  <c r="W78" i="5"/>
  <c r="V78" i="5"/>
  <c r="AG77" i="5"/>
  <c r="AF77" i="5"/>
  <c r="AE77" i="5"/>
  <c r="AD77" i="5"/>
  <c r="AC77" i="5"/>
  <c r="AB77" i="5"/>
  <c r="AA77" i="5"/>
  <c r="Z77" i="5"/>
  <c r="Y77" i="5"/>
  <c r="X77" i="5"/>
  <c r="W77" i="5"/>
  <c r="V77" i="5"/>
  <c r="AG76" i="5"/>
  <c r="AF76" i="5"/>
  <c r="AE76" i="5"/>
  <c r="AD76" i="5"/>
  <c r="AC76" i="5"/>
  <c r="AB76" i="5"/>
  <c r="AA76" i="5"/>
  <c r="Z76" i="5"/>
  <c r="Y76" i="5"/>
  <c r="X76" i="5"/>
  <c r="W76" i="5"/>
  <c r="V76" i="5"/>
  <c r="AG75" i="5"/>
  <c r="AF75" i="5"/>
  <c r="AE75" i="5"/>
  <c r="AD75" i="5"/>
  <c r="AC75" i="5"/>
  <c r="AB75" i="5"/>
  <c r="AA75" i="5"/>
  <c r="Z75" i="5"/>
  <c r="Y75" i="5"/>
  <c r="X75" i="5"/>
  <c r="W75" i="5"/>
  <c r="V75" i="5"/>
  <c r="AG74" i="5"/>
  <c r="AF74" i="5"/>
  <c r="AE74" i="5"/>
  <c r="AD74" i="5"/>
  <c r="AC74" i="5"/>
  <c r="AB74" i="5"/>
  <c r="AA74" i="5"/>
  <c r="Z74" i="5"/>
  <c r="Y74" i="5"/>
  <c r="X74" i="5"/>
  <c r="W74" i="5"/>
  <c r="V74" i="5"/>
  <c r="AG73" i="5"/>
  <c r="AF73" i="5"/>
  <c r="AE73" i="5"/>
  <c r="AD73" i="5"/>
  <c r="AC73" i="5"/>
  <c r="AB73" i="5"/>
  <c r="AA73" i="5"/>
  <c r="Z73" i="5"/>
  <c r="Y73" i="5"/>
  <c r="X73" i="5"/>
  <c r="W73" i="5"/>
  <c r="V73" i="5"/>
  <c r="AG72" i="5"/>
  <c r="AF72" i="5"/>
  <c r="AE72" i="5"/>
  <c r="AD72" i="5"/>
  <c r="AC72" i="5"/>
  <c r="AB72" i="5"/>
  <c r="AA72" i="5"/>
  <c r="Z72" i="5"/>
  <c r="Y72" i="5"/>
  <c r="X72" i="5"/>
  <c r="W72" i="5"/>
  <c r="V72" i="5"/>
  <c r="AG71" i="5"/>
  <c r="AF71" i="5"/>
  <c r="AE71" i="5"/>
  <c r="AD71" i="5"/>
  <c r="AC71" i="5"/>
  <c r="AB71" i="5"/>
  <c r="AA71" i="5"/>
  <c r="Z71" i="5"/>
  <c r="Y71" i="5"/>
  <c r="X71" i="5"/>
  <c r="W71" i="5"/>
  <c r="V71" i="5"/>
  <c r="AG70" i="5"/>
  <c r="AF70" i="5"/>
  <c r="AE70" i="5"/>
  <c r="AD70" i="5"/>
  <c r="AC70" i="5"/>
  <c r="AB70" i="5"/>
  <c r="AA70" i="5"/>
  <c r="Z70" i="5"/>
  <c r="Y70" i="5"/>
  <c r="X70" i="5"/>
  <c r="W70" i="5"/>
  <c r="V70" i="5"/>
  <c r="AG63" i="5"/>
  <c r="AF63" i="5"/>
  <c r="AE63" i="5"/>
  <c r="AD63" i="5"/>
  <c r="AC63" i="5"/>
  <c r="AB63" i="5"/>
  <c r="AA63" i="5"/>
  <c r="Z63" i="5"/>
  <c r="Y63" i="5"/>
  <c r="X63" i="5"/>
  <c r="W63" i="5"/>
  <c r="V63" i="5"/>
  <c r="AD62" i="5"/>
  <c r="AC62" i="5"/>
  <c r="AB62" i="5"/>
  <c r="AA62" i="5"/>
  <c r="Z62" i="5"/>
  <c r="Y62" i="5"/>
  <c r="X62" i="5"/>
  <c r="W62" i="5"/>
  <c r="V62" i="5"/>
  <c r="AD61" i="5"/>
  <c r="AC61" i="5"/>
  <c r="AB61" i="5"/>
  <c r="AA61" i="5"/>
  <c r="Z61" i="5"/>
  <c r="Y61" i="5"/>
  <c r="X61" i="5"/>
  <c r="W61" i="5"/>
  <c r="V61" i="5"/>
  <c r="AD60" i="5"/>
  <c r="AC60" i="5"/>
  <c r="AB60" i="5"/>
  <c r="AA60" i="5"/>
  <c r="Z60" i="5"/>
  <c r="Y60" i="5"/>
  <c r="X60" i="5"/>
  <c r="W60" i="5"/>
  <c r="V60" i="5"/>
  <c r="AD59" i="5"/>
  <c r="AC59" i="5"/>
  <c r="AB59" i="5"/>
  <c r="AA59" i="5"/>
  <c r="Z59" i="5"/>
  <c r="Y59" i="5"/>
  <c r="X59" i="5"/>
  <c r="W59" i="5"/>
  <c r="V59" i="5"/>
  <c r="AD58" i="5"/>
  <c r="AC58" i="5"/>
  <c r="AB58" i="5"/>
  <c r="AA58" i="5"/>
  <c r="Z58" i="5"/>
  <c r="Y58" i="5"/>
  <c r="X58" i="5"/>
  <c r="W58" i="5"/>
  <c r="V58" i="5"/>
  <c r="AD57" i="5"/>
  <c r="AC57" i="5"/>
  <c r="AB57" i="5"/>
  <c r="AA57" i="5"/>
  <c r="Z57" i="5"/>
  <c r="Y57" i="5"/>
  <c r="X57" i="5"/>
  <c r="W57" i="5"/>
  <c r="V57" i="5"/>
  <c r="AD56" i="5"/>
  <c r="AC56" i="5"/>
  <c r="AB56" i="5"/>
  <c r="AA56" i="5"/>
  <c r="Z56" i="5"/>
  <c r="Y56" i="5"/>
  <c r="X56" i="5"/>
  <c r="W56" i="5"/>
  <c r="V56" i="5"/>
  <c r="AD55" i="5"/>
  <c r="AC55" i="5"/>
  <c r="AB55" i="5"/>
  <c r="AA55" i="5"/>
  <c r="Z55" i="5"/>
  <c r="Y55" i="5"/>
  <c r="X55" i="5"/>
  <c r="W55" i="5"/>
  <c r="V55" i="5"/>
  <c r="AD54" i="5"/>
  <c r="AC54" i="5"/>
  <c r="AB54" i="5"/>
  <c r="AA54" i="5"/>
  <c r="Z54" i="5"/>
  <c r="Y54" i="5"/>
  <c r="X54" i="5"/>
  <c r="W54" i="5"/>
  <c r="V54" i="5"/>
  <c r="AD53" i="5"/>
  <c r="AC53" i="5"/>
  <c r="AB53" i="5"/>
  <c r="AA53" i="5"/>
  <c r="Z53" i="5"/>
  <c r="Y53" i="5"/>
  <c r="X53" i="5"/>
  <c r="W53" i="5"/>
  <c r="V53" i="5"/>
  <c r="AD52" i="5"/>
  <c r="AC52" i="5"/>
  <c r="AB52" i="5"/>
  <c r="AA52" i="5"/>
  <c r="Z52" i="5"/>
  <c r="Y52" i="5"/>
  <c r="X52" i="5"/>
  <c r="W52" i="5"/>
  <c r="V52" i="5"/>
  <c r="AG51" i="5"/>
  <c r="AF51" i="5"/>
  <c r="AE51" i="5"/>
  <c r="AD51" i="5"/>
  <c r="AC51" i="5"/>
  <c r="AB51" i="5"/>
  <c r="AA51" i="5"/>
  <c r="Z51" i="5"/>
  <c r="Y51" i="5"/>
  <c r="X51" i="5"/>
  <c r="W51" i="5"/>
  <c r="V51" i="5"/>
  <c r="AD50" i="5"/>
  <c r="AC50" i="5"/>
  <c r="AB50" i="5"/>
  <c r="AA50" i="5"/>
  <c r="Z50" i="5"/>
  <c r="Y50" i="5"/>
  <c r="X50" i="5"/>
  <c r="W50" i="5"/>
  <c r="V50" i="5"/>
  <c r="AD49" i="5"/>
  <c r="AC49" i="5"/>
  <c r="AB49" i="5"/>
  <c r="AA49" i="5"/>
  <c r="Z49" i="5"/>
  <c r="Y49" i="5"/>
  <c r="X49" i="5"/>
  <c r="W49" i="5"/>
  <c r="V49" i="5"/>
  <c r="AG48" i="5"/>
  <c r="AF48" i="5"/>
  <c r="AE48" i="5"/>
  <c r="AD48" i="5"/>
  <c r="AC48" i="5"/>
  <c r="AB48" i="5"/>
  <c r="AA48" i="5"/>
  <c r="Z48" i="5"/>
  <c r="Y48" i="5"/>
  <c r="X48" i="5"/>
  <c r="W48" i="5"/>
  <c r="V48" i="5"/>
  <c r="AD43" i="5"/>
  <c r="AC43" i="5"/>
  <c r="AB43" i="5"/>
  <c r="AA43" i="5"/>
  <c r="Z43" i="5"/>
  <c r="Y43" i="5"/>
  <c r="X43" i="5"/>
  <c r="W43" i="5"/>
  <c r="V43" i="5"/>
  <c r="AD42" i="5"/>
  <c r="AC42" i="5"/>
  <c r="AB42" i="5"/>
  <c r="AA42" i="5"/>
  <c r="Z42" i="5"/>
  <c r="Y42" i="5"/>
  <c r="X42" i="5"/>
  <c r="W42" i="5"/>
  <c r="V42" i="5"/>
  <c r="AD41" i="5"/>
  <c r="AC41" i="5"/>
  <c r="AB41" i="5"/>
  <c r="AA41" i="5"/>
  <c r="Z41" i="5"/>
  <c r="Y41" i="5"/>
  <c r="X41" i="5"/>
  <c r="W41" i="5"/>
  <c r="V41" i="5"/>
  <c r="AD35" i="5"/>
  <c r="AC35" i="5"/>
  <c r="AB35" i="5"/>
  <c r="AA35" i="5"/>
  <c r="Z35" i="5"/>
  <c r="Y35" i="5"/>
  <c r="X35" i="5"/>
  <c r="W35" i="5"/>
  <c r="V35" i="5"/>
  <c r="AD34" i="5"/>
  <c r="AC34" i="5"/>
  <c r="AB34" i="5"/>
  <c r="AA34" i="5"/>
  <c r="Z34" i="5"/>
  <c r="Y34" i="5"/>
  <c r="X34" i="5"/>
  <c r="W34" i="5"/>
  <c r="V34" i="5"/>
  <c r="AD33" i="5"/>
  <c r="AC33" i="5"/>
  <c r="AB33" i="5"/>
  <c r="AA33" i="5"/>
  <c r="Z33" i="5"/>
  <c r="Y33" i="5"/>
  <c r="X33" i="5"/>
  <c r="W33" i="5"/>
  <c r="V33" i="5"/>
  <c r="AD32" i="5"/>
  <c r="AC32" i="5"/>
  <c r="AB32" i="5"/>
  <c r="AA32" i="5"/>
  <c r="Z32" i="5"/>
  <c r="Y32" i="5"/>
  <c r="X32" i="5"/>
  <c r="W32" i="5"/>
  <c r="V32" i="5"/>
  <c r="AD31" i="5"/>
  <c r="AC31" i="5"/>
  <c r="AB31" i="5"/>
  <c r="AA31" i="5"/>
  <c r="Z31" i="5"/>
  <c r="Y31" i="5"/>
  <c r="X31" i="5"/>
  <c r="W31" i="5"/>
  <c r="V31" i="5"/>
  <c r="AG30" i="5"/>
  <c r="AF30" i="5"/>
  <c r="AE30" i="5"/>
  <c r="AD30" i="5"/>
  <c r="AC30" i="5"/>
  <c r="AB30" i="5"/>
  <c r="AA30" i="5"/>
  <c r="Z30" i="5"/>
  <c r="Y30" i="5"/>
  <c r="X30" i="5"/>
  <c r="W30" i="5"/>
  <c r="V30" i="5"/>
  <c r="AD29" i="5"/>
  <c r="AC29" i="5"/>
  <c r="AB29" i="5"/>
  <c r="AA29" i="5"/>
  <c r="Z29" i="5"/>
  <c r="Y29" i="5"/>
  <c r="X29" i="5"/>
  <c r="W29" i="5"/>
  <c r="V29" i="5"/>
  <c r="AD28" i="5"/>
  <c r="AC28" i="5"/>
  <c r="AB28" i="5"/>
  <c r="AA28" i="5"/>
  <c r="Z28" i="5"/>
  <c r="Y28" i="5"/>
  <c r="X28" i="5"/>
  <c r="W28" i="5"/>
  <c r="V28" i="5"/>
  <c r="AD27" i="5"/>
  <c r="AC27" i="5"/>
  <c r="AB27" i="5"/>
  <c r="AA27" i="5"/>
  <c r="Z27" i="5"/>
  <c r="Y27" i="5"/>
  <c r="X27" i="5"/>
  <c r="W27" i="5"/>
  <c r="V27" i="5"/>
  <c r="AD26" i="5"/>
  <c r="AC26" i="5"/>
  <c r="AB26" i="5"/>
  <c r="AA26" i="5"/>
  <c r="Z26" i="5"/>
  <c r="Y26" i="5"/>
  <c r="X26" i="5"/>
  <c r="W26" i="5"/>
  <c r="V26" i="5"/>
  <c r="AD25" i="5"/>
  <c r="AC25" i="5"/>
  <c r="AB25" i="5"/>
  <c r="AA25" i="5"/>
  <c r="Z25" i="5"/>
  <c r="Y25" i="5"/>
  <c r="X25" i="5"/>
  <c r="W25" i="5"/>
  <c r="V25" i="5"/>
  <c r="AD24" i="5"/>
  <c r="AC24" i="5"/>
  <c r="AB24" i="5"/>
  <c r="AA24" i="5"/>
  <c r="Z24" i="5"/>
  <c r="Y24" i="5"/>
  <c r="X24" i="5"/>
  <c r="W24" i="5"/>
  <c r="V24" i="5"/>
  <c r="AD23" i="5"/>
  <c r="AC23" i="5"/>
  <c r="AB23" i="5"/>
  <c r="AA23" i="5"/>
  <c r="Z23" i="5"/>
  <c r="Y23" i="5"/>
  <c r="X23" i="5"/>
  <c r="W23" i="5"/>
  <c r="V23" i="5"/>
  <c r="AD22" i="5"/>
  <c r="AC22" i="5"/>
  <c r="AB22" i="5"/>
  <c r="AA22" i="5"/>
  <c r="Z22" i="5"/>
  <c r="Y22" i="5"/>
  <c r="X22" i="5"/>
  <c r="W22" i="5"/>
  <c r="V22" i="5"/>
  <c r="AG21" i="5"/>
  <c r="AF21" i="5"/>
  <c r="AE21" i="5"/>
  <c r="AD21" i="5"/>
  <c r="AC21" i="5"/>
  <c r="AB21" i="5"/>
  <c r="AA21" i="5"/>
  <c r="Z21" i="5"/>
  <c r="Y21" i="5"/>
  <c r="X21" i="5"/>
  <c r="W21" i="5"/>
  <c r="V21" i="5"/>
  <c r="AG20" i="5"/>
  <c r="AF20" i="5"/>
  <c r="AE20" i="5"/>
  <c r="AD20" i="5"/>
  <c r="AC20" i="5"/>
  <c r="AB20" i="5"/>
  <c r="AA20" i="5"/>
  <c r="Z20" i="5"/>
  <c r="Y20" i="5"/>
  <c r="X20" i="5"/>
  <c r="W20" i="5"/>
  <c r="V20" i="5"/>
  <c r="AD19" i="5"/>
  <c r="AC19" i="5"/>
  <c r="AB19" i="5"/>
  <c r="AA19" i="5"/>
  <c r="Z19" i="5"/>
  <c r="Y19" i="5"/>
  <c r="X19" i="5"/>
  <c r="W19" i="5"/>
  <c r="V19" i="5"/>
  <c r="AD18" i="5"/>
  <c r="AC18" i="5"/>
  <c r="AB18" i="5"/>
  <c r="AA18" i="5"/>
  <c r="Z18" i="5"/>
  <c r="Y18" i="5"/>
  <c r="X18" i="5"/>
  <c r="W18" i="5"/>
  <c r="V18" i="5"/>
  <c r="AD17" i="5"/>
  <c r="AC17" i="5"/>
  <c r="AB17" i="5"/>
  <c r="AA17" i="5"/>
  <c r="Z17" i="5"/>
  <c r="Y17" i="5"/>
  <c r="X17" i="5"/>
  <c r="W17" i="5"/>
  <c r="V17" i="5"/>
  <c r="AD16" i="5"/>
  <c r="AC16" i="5"/>
  <c r="AB16" i="5"/>
  <c r="AA16" i="5"/>
  <c r="Z16" i="5"/>
  <c r="Y16" i="5"/>
  <c r="X16" i="5"/>
  <c r="W16" i="5"/>
  <c r="V16" i="5"/>
  <c r="AD15" i="5"/>
  <c r="AC15" i="5"/>
  <c r="AB15" i="5"/>
  <c r="AA15" i="5"/>
  <c r="Z15" i="5"/>
  <c r="Y15" i="5"/>
  <c r="X15" i="5"/>
  <c r="W15" i="5"/>
  <c r="V15" i="5"/>
  <c r="AD14" i="5"/>
  <c r="AC14" i="5"/>
  <c r="AB14" i="5"/>
  <c r="AA14" i="5"/>
  <c r="Z14" i="5"/>
  <c r="Y14" i="5"/>
  <c r="X14" i="5"/>
  <c r="W14" i="5"/>
  <c r="V14" i="5"/>
  <c r="AD13" i="5"/>
  <c r="AC13" i="5"/>
  <c r="AB13" i="5"/>
  <c r="AA13" i="5"/>
  <c r="Z13" i="5"/>
  <c r="Y13" i="5"/>
  <c r="X13" i="5"/>
  <c r="W13" i="5"/>
  <c r="V13" i="5"/>
  <c r="AD12" i="5"/>
  <c r="AC12" i="5"/>
  <c r="AB12" i="5"/>
  <c r="AA12" i="5"/>
  <c r="Z12" i="5"/>
  <c r="Y12" i="5"/>
  <c r="X12" i="5"/>
  <c r="W12" i="5"/>
  <c r="V12" i="5"/>
  <c r="Z11" i="5"/>
  <c r="AA11" i="5"/>
  <c r="AB11" i="5"/>
  <c r="AC11" i="5"/>
  <c r="AD11" i="5"/>
  <c r="Y11" i="5"/>
  <c r="AJ32" i="6" l="1"/>
  <c r="AI32" i="6"/>
  <c r="AG58" i="5" l="1"/>
  <c r="AF58" i="5"/>
  <c r="AE58" i="5"/>
  <c r="AG158" i="5"/>
  <c r="AF158" i="5"/>
  <c r="AE158" i="5"/>
  <c r="AG204" i="5"/>
  <c r="AF204" i="5"/>
  <c r="AE204" i="5"/>
  <c r="AG144" i="5"/>
  <c r="AF144" i="5"/>
  <c r="AE144" i="5"/>
  <c r="AG142" i="5"/>
  <c r="AF142" i="5"/>
  <c r="AE142" i="5"/>
  <c r="AG22" i="5"/>
  <c r="AF22" i="5"/>
  <c r="AE22" i="5"/>
  <c r="AG41" i="5"/>
  <c r="AF41" i="5"/>
  <c r="AE41" i="5"/>
  <c r="AG136" i="5"/>
  <c r="AF136" i="5"/>
  <c r="AE136" i="5"/>
  <c r="AG164" i="5"/>
  <c r="AF164" i="5"/>
  <c r="AE164" i="5"/>
  <c r="AG149" i="5"/>
  <c r="AF149" i="5"/>
  <c r="AE149" i="5"/>
  <c r="AG57" i="5"/>
  <c r="AF57" i="5"/>
  <c r="AE57" i="5"/>
  <c r="AG27" i="5"/>
  <c r="AF27" i="5"/>
  <c r="AE27" i="5"/>
  <c r="AF17" i="5"/>
  <c r="AG17" i="5"/>
  <c r="AE17" i="5"/>
  <c r="AG188" i="5"/>
  <c r="AF188" i="5"/>
  <c r="AE188" i="5"/>
  <c r="AG196" i="5"/>
  <c r="AF196" i="5"/>
  <c r="AE196" i="5"/>
  <c r="AG147" i="5"/>
  <c r="AF147" i="5"/>
  <c r="AE147" i="5"/>
  <c r="AG59" i="5"/>
  <c r="AF59" i="5"/>
  <c r="AE59" i="5"/>
  <c r="AG145" i="5"/>
  <c r="AF145" i="5"/>
  <c r="AE145" i="5"/>
  <c r="AG133" i="5"/>
  <c r="AF133" i="5"/>
  <c r="AE133" i="5"/>
  <c r="AG156" i="5"/>
  <c r="AF156" i="5"/>
  <c r="AE156" i="5"/>
  <c r="AG49" i="5"/>
  <c r="AF49" i="5"/>
  <c r="AE49" i="5"/>
  <c r="AG141" i="5"/>
  <c r="AF141" i="5"/>
  <c r="AE141" i="5"/>
  <c r="AG135" i="5"/>
  <c r="AF135" i="5"/>
  <c r="AE135" i="5"/>
  <c r="AG160" i="5"/>
  <c r="AF160" i="5"/>
  <c r="AE160" i="5"/>
  <c r="AG148" i="5"/>
  <c r="AF148" i="5"/>
  <c r="AE148" i="5"/>
  <c r="AG54" i="5"/>
  <c r="AF54" i="5"/>
  <c r="AE54" i="5"/>
  <c r="AG28" i="5"/>
  <c r="AF28" i="5"/>
  <c r="AE28" i="5"/>
  <c r="AG16" i="5"/>
  <c r="AF16" i="5"/>
  <c r="AE16" i="5"/>
  <c r="AG195" i="5"/>
  <c r="AF195" i="5"/>
  <c r="AE195" i="5"/>
  <c r="AG159" i="5"/>
  <c r="AF159" i="5"/>
  <c r="AE159" i="5"/>
  <c r="AG15" i="5"/>
  <c r="AF15" i="5"/>
  <c r="AE15" i="5"/>
  <c r="AG172" i="5"/>
  <c r="AF172" i="5"/>
  <c r="AE172" i="5"/>
  <c r="AG203" i="5"/>
  <c r="AF203" i="5"/>
  <c r="AE203" i="5"/>
  <c r="AG29" i="5"/>
  <c r="AF29" i="5"/>
  <c r="AE29" i="5"/>
  <c r="AG31" i="5"/>
  <c r="AF31" i="5"/>
  <c r="AE31" i="5"/>
  <c r="AG157" i="5"/>
  <c r="AF157" i="5"/>
  <c r="AE157" i="5"/>
  <c r="AG171" i="5"/>
  <c r="AF171" i="5"/>
  <c r="AE171" i="5"/>
  <c r="AF12" i="5"/>
  <c r="AE12" i="5"/>
  <c r="AG12" i="5"/>
  <c r="AG155" i="5"/>
  <c r="AF155" i="5"/>
  <c r="AE155" i="5"/>
  <c r="AG202" i="5"/>
  <c r="AF202" i="5"/>
  <c r="AE202" i="5"/>
  <c r="AG201" i="5"/>
  <c r="AF201" i="5"/>
  <c r="AE201" i="5"/>
  <c r="AG52" i="5"/>
  <c r="AF52" i="5"/>
  <c r="AE52" i="5"/>
  <c r="AG42" i="5"/>
  <c r="AF42" i="5"/>
  <c r="AE42" i="5"/>
  <c r="AG26" i="5"/>
  <c r="AF26" i="5"/>
  <c r="AE26" i="5"/>
  <c r="AG200" i="5"/>
  <c r="AF200" i="5"/>
  <c r="AE200" i="5"/>
  <c r="AG180" i="5"/>
  <c r="AF180" i="5"/>
  <c r="AE180" i="5"/>
  <c r="AG60" i="5"/>
  <c r="AF60" i="5"/>
  <c r="AE60" i="5"/>
  <c r="AG61" i="5"/>
  <c r="AF61" i="5"/>
  <c r="AE61" i="5"/>
  <c r="AG34" i="5"/>
  <c r="AF34" i="5"/>
  <c r="AE34" i="5"/>
  <c r="AG23" i="5"/>
  <c r="AF23" i="5"/>
  <c r="AE23" i="5"/>
  <c r="AG139" i="5"/>
  <c r="AF139" i="5"/>
  <c r="AE139" i="5"/>
  <c r="AG152" i="5"/>
  <c r="AF152" i="5"/>
  <c r="AE152" i="5"/>
  <c r="AG53" i="5"/>
  <c r="AF53" i="5"/>
  <c r="AE53" i="5"/>
  <c r="AG43" i="5"/>
  <c r="AF43" i="5"/>
  <c r="AE43" i="5"/>
  <c r="AG11" i="5"/>
  <c r="AF11" i="5"/>
  <c r="AE11" i="5"/>
  <c r="AG187" i="5"/>
  <c r="AF187" i="5"/>
  <c r="AE187" i="5"/>
  <c r="AG199" i="5"/>
  <c r="AF199" i="5"/>
  <c r="AE199" i="5"/>
  <c r="AG134" i="5"/>
  <c r="AF134" i="5"/>
  <c r="AE134" i="5"/>
  <c r="AG146" i="5"/>
  <c r="AF146" i="5"/>
  <c r="AE146" i="5"/>
  <c r="AG14" i="5"/>
  <c r="AF14" i="5"/>
  <c r="AE14" i="5"/>
  <c r="AG13" i="5"/>
  <c r="AF13" i="5"/>
  <c r="AE13" i="5"/>
  <c r="AG33" i="5"/>
  <c r="AF33" i="5"/>
  <c r="AE33" i="5"/>
  <c r="AG170" i="5"/>
  <c r="AF170" i="5"/>
  <c r="AE170" i="5"/>
  <c r="AG62" i="5"/>
  <c r="AF62" i="5"/>
  <c r="AE62" i="5"/>
  <c r="AG35" i="5"/>
  <c r="AF35" i="5"/>
  <c r="AE35" i="5"/>
  <c r="AG140" i="5"/>
  <c r="AF140" i="5"/>
  <c r="AE140" i="5"/>
  <c r="AG138" i="5"/>
  <c r="AF138" i="5"/>
  <c r="AE138" i="5"/>
  <c r="AG55" i="5"/>
  <c r="AF55" i="5"/>
  <c r="AE55" i="5"/>
  <c r="AG24" i="5"/>
  <c r="AF24" i="5"/>
  <c r="AE24" i="5"/>
  <c r="AG19" i="5"/>
  <c r="AF19" i="5"/>
  <c r="AE19" i="5"/>
  <c r="AG190" i="5"/>
  <c r="AF190" i="5"/>
  <c r="AE190" i="5"/>
  <c r="AG198" i="5"/>
  <c r="AF198" i="5"/>
  <c r="AE198" i="5"/>
  <c r="AG32" i="5"/>
  <c r="AF32" i="5"/>
  <c r="AE32" i="5"/>
  <c r="AG169" i="5"/>
  <c r="AF169" i="5"/>
  <c r="AE169" i="5"/>
  <c r="AG154" i="5"/>
  <c r="AF154" i="5"/>
  <c r="AE154" i="5"/>
  <c r="AG50" i="5"/>
  <c r="AF50" i="5"/>
  <c r="AE50" i="5"/>
  <c r="AG168" i="5"/>
  <c r="AF168" i="5"/>
  <c r="AE168" i="5"/>
  <c r="AG153" i="5"/>
  <c r="AF153" i="5"/>
  <c r="AE153" i="5"/>
  <c r="AG167" i="5"/>
  <c r="AF167" i="5"/>
  <c r="AE167" i="5"/>
  <c r="AG166" i="5"/>
  <c r="AF166" i="5"/>
  <c r="AE166" i="5"/>
  <c r="AG151" i="5"/>
  <c r="AF151" i="5"/>
  <c r="AE151" i="5"/>
  <c r="AG137" i="5"/>
  <c r="AF137" i="5"/>
  <c r="AE137" i="5"/>
  <c r="AG165" i="5"/>
  <c r="AF165" i="5"/>
  <c r="AE165" i="5"/>
  <c r="AG150" i="5"/>
  <c r="AF150" i="5"/>
  <c r="AE150" i="5"/>
  <c r="AG56" i="5"/>
  <c r="AF56" i="5"/>
  <c r="AE56" i="5"/>
  <c r="AG25" i="5"/>
  <c r="AF25" i="5"/>
  <c r="AE25" i="5"/>
  <c r="AG18" i="5"/>
  <c r="AF18" i="5"/>
  <c r="AE18" i="5"/>
  <c r="AG189" i="5"/>
  <c r="AF189" i="5"/>
  <c r="AE189" i="5"/>
  <c r="AG197" i="5"/>
  <c r="AF197" i="5"/>
  <c r="AE197" i="5"/>
  <c r="B55" i="6" l="1"/>
  <c r="B54" i="6"/>
  <c r="B29" i="6"/>
  <c r="B129" i="6"/>
  <c r="B158" i="6"/>
  <c r="A158" i="6"/>
  <c r="B67" i="6"/>
  <c r="A67" i="6"/>
  <c r="U29" i="6" l="1"/>
  <c r="AJ54" i="6"/>
  <c r="U54" i="6"/>
  <c r="AI54" i="6"/>
  <c r="U55" i="6"/>
  <c r="U129" i="6"/>
  <c r="U158" i="6"/>
  <c r="U67" i="6"/>
  <c r="AJ55" i="6" l="1"/>
  <c r="AI55" i="6"/>
  <c r="B135" i="7" l="1"/>
  <c r="A135" i="7"/>
  <c r="B129" i="7"/>
  <c r="A129" i="7"/>
  <c r="B23" i="7"/>
  <c r="B14" i="7"/>
  <c r="B213" i="7"/>
  <c r="B194" i="7"/>
  <c r="B211" i="7"/>
  <c r="B383" i="9"/>
  <c r="B146" i="9"/>
  <c r="U135" i="7" l="1"/>
  <c r="U129" i="7"/>
  <c r="U23" i="7"/>
  <c r="U14" i="7"/>
  <c r="U213" i="7"/>
  <c r="U194" i="7"/>
  <c r="U211" i="7"/>
  <c r="U383" i="9"/>
  <c r="U146" i="9"/>
  <c r="AJ23" i="7" l="1"/>
  <c r="AI23" i="7"/>
  <c r="AJ194" i="7"/>
  <c r="AI194" i="7"/>
  <c r="AQ23" i="7" l="1"/>
  <c r="AO23" i="7"/>
  <c r="AM23" i="7"/>
  <c r="B243" i="9" l="1"/>
  <c r="B431" i="9"/>
  <c r="A431" i="9"/>
  <c r="B117" i="9"/>
  <c r="B237" i="9"/>
  <c r="B117" i="16" l="1"/>
  <c r="A185" i="16"/>
  <c r="A186" i="16"/>
  <c r="B185" i="16"/>
  <c r="B186" i="16"/>
  <c r="B118" i="16"/>
  <c r="B123" i="16"/>
  <c r="A169" i="16"/>
  <c r="A170" i="16"/>
  <c r="A171" i="16"/>
  <c r="AD209" i="5"/>
  <c r="AC209" i="5"/>
  <c r="AD208" i="5"/>
  <c r="AC208" i="5"/>
  <c r="AD207" i="5"/>
  <c r="AC207" i="5"/>
  <c r="AD36" i="5"/>
  <c r="AC36" i="5"/>
  <c r="O45" i="5" l="1"/>
  <c r="U243" i="9"/>
  <c r="U431" i="9"/>
  <c r="U117" i="9"/>
  <c r="U237" i="9"/>
  <c r="U170" i="16"/>
  <c r="Q34" i="33"/>
  <c r="U185" i="16" l="1"/>
  <c r="U117" i="16"/>
  <c r="U186" i="16"/>
  <c r="U123" i="16"/>
  <c r="U118" i="16"/>
  <c r="AJ117" i="16" l="1"/>
  <c r="AI117" i="16"/>
  <c r="AJ118" i="16"/>
  <c r="AI118" i="16"/>
  <c r="AI129" i="1" l="1"/>
  <c r="AI75" i="1"/>
  <c r="AJ1" i="1"/>
  <c r="AJ2" i="1" s="1"/>
  <c r="A177" i="5" l="1"/>
  <c r="A178" i="5"/>
  <c r="A131" i="5"/>
  <c r="A173" i="5"/>
  <c r="B144" i="7" l="1"/>
  <c r="A144" i="7"/>
  <c r="AF30" i="1" l="1"/>
  <c r="AE30" i="1"/>
  <c r="AD30" i="1"/>
  <c r="AC30" i="1"/>
  <c r="AB30" i="1"/>
  <c r="AA30" i="1"/>
  <c r="Z30" i="1"/>
  <c r="Y30" i="1"/>
  <c r="X30" i="1"/>
  <c r="W30" i="1"/>
  <c r="V30" i="1"/>
  <c r="U30" i="1"/>
  <c r="AF31" i="1"/>
  <c r="AE31" i="1"/>
  <c r="AD31" i="1"/>
  <c r="AC31" i="1"/>
  <c r="Z31" i="1"/>
  <c r="X31" i="1"/>
  <c r="W31" i="1"/>
  <c r="V31" i="1"/>
  <c r="U31" i="1"/>
  <c r="AF32" i="1"/>
  <c r="AE32" i="1"/>
  <c r="AD32" i="1"/>
  <c r="AC32" i="1"/>
  <c r="W32" i="1"/>
  <c r="V32" i="1"/>
  <c r="U32" i="1"/>
  <c r="U144" i="7" l="1"/>
  <c r="S30" i="1"/>
  <c r="AH30" i="1"/>
  <c r="AA31" i="1"/>
  <c r="AB31" i="1"/>
  <c r="AB32" i="1"/>
  <c r="S31" i="1"/>
  <c r="S32" i="1"/>
  <c r="Y31" i="1"/>
  <c r="Y32" i="1"/>
  <c r="Z32" i="1"/>
  <c r="X32" i="1"/>
  <c r="AA32" i="1"/>
  <c r="AG30" i="1" l="1"/>
  <c r="AM30" i="1" s="1"/>
  <c r="AH32" i="1"/>
  <c r="AH31" i="1"/>
  <c r="AG31" i="1"/>
  <c r="AM31" i="1" s="1"/>
  <c r="AG32" i="1"/>
  <c r="AM32" i="1" s="1"/>
  <c r="AE48" i="7" l="1"/>
  <c r="AD48" i="7"/>
  <c r="AC48" i="7"/>
  <c r="AB48" i="7"/>
  <c r="AA48" i="7"/>
  <c r="Z48" i="7"/>
  <c r="AF223" i="1" l="1"/>
  <c r="AE223" i="1"/>
  <c r="AD223" i="1"/>
  <c r="AC223" i="1"/>
  <c r="AB223" i="1"/>
  <c r="AA223" i="1"/>
  <c r="Z223" i="1"/>
  <c r="Y223" i="1"/>
  <c r="X223" i="1"/>
  <c r="W223" i="1"/>
  <c r="V223" i="1"/>
  <c r="U223" i="1"/>
  <c r="AH223" i="1" l="1"/>
  <c r="AG223" i="1"/>
  <c r="S223" i="1"/>
  <c r="B20" i="6" l="1"/>
  <c r="V126" i="1"/>
  <c r="W126" i="1"/>
  <c r="AC126" i="1"/>
  <c r="AD126" i="1"/>
  <c r="AE126" i="1"/>
  <c r="AF126" i="1"/>
  <c r="U127" i="1"/>
  <c r="V127" i="1"/>
  <c r="W127" i="1"/>
  <c r="AB127" i="1"/>
  <c r="AC127" i="1"/>
  <c r="AD127" i="1"/>
  <c r="AE127" i="1"/>
  <c r="AF127" i="1"/>
  <c r="U128" i="1"/>
  <c r="V128" i="1"/>
  <c r="W128" i="1"/>
  <c r="AB128" i="1"/>
  <c r="AC128" i="1"/>
  <c r="AD128" i="1"/>
  <c r="AE128" i="1"/>
  <c r="AF128" i="1"/>
  <c r="U129" i="1"/>
  <c r="V129" i="1"/>
  <c r="W129" i="1"/>
  <c r="AC129" i="1"/>
  <c r="AD129" i="1"/>
  <c r="AE129" i="1"/>
  <c r="AF129" i="1"/>
  <c r="U130" i="1"/>
  <c r="V130" i="1"/>
  <c r="W130" i="1"/>
  <c r="AC130" i="1"/>
  <c r="AD130" i="1"/>
  <c r="AE130" i="1"/>
  <c r="AF130" i="1"/>
  <c r="U131" i="1"/>
  <c r="V131" i="1"/>
  <c r="W131" i="1"/>
  <c r="AB131" i="1"/>
  <c r="AC131" i="1"/>
  <c r="AD131" i="1"/>
  <c r="AE131" i="1"/>
  <c r="AF131" i="1"/>
  <c r="U132" i="1"/>
  <c r="V132" i="1"/>
  <c r="W132" i="1"/>
  <c r="AB132" i="1"/>
  <c r="AC132" i="1"/>
  <c r="AD132" i="1"/>
  <c r="AE132" i="1"/>
  <c r="AF132" i="1"/>
  <c r="U133" i="1"/>
  <c r="V133" i="1"/>
  <c r="W133" i="1"/>
  <c r="AC133" i="1"/>
  <c r="AD133" i="1"/>
  <c r="AE133" i="1"/>
  <c r="AF133" i="1"/>
  <c r="A176" i="5"/>
  <c r="AF55" i="1"/>
  <c r="AE55" i="1"/>
  <c r="AD55" i="1"/>
  <c r="AC55" i="1"/>
  <c r="AB55" i="1"/>
  <c r="AA55" i="1"/>
  <c r="Z55" i="1"/>
  <c r="Y55" i="1"/>
  <c r="X55" i="1"/>
  <c r="W55" i="1"/>
  <c r="V55" i="1"/>
  <c r="U55" i="1"/>
  <c r="AF260" i="1"/>
  <c r="AE260" i="1"/>
  <c r="AD260" i="1"/>
  <c r="AC260" i="1"/>
  <c r="AB260" i="1"/>
  <c r="AA260" i="1"/>
  <c r="Z260" i="1"/>
  <c r="Y260" i="1"/>
  <c r="X260" i="1"/>
  <c r="W260" i="1"/>
  <c r="V260" i="1"/>
  <c r="U260" i="1"/>
  <c r="AF262" i="1"/>
  <c r="AE262" i="1"/>
  <c r="AD262" i="1"/>
  <c r="AC262" i="1"/>
  <c r="AB262" i="1"/>
  <c r="AA262" i="1"/>
  <c r="Z262" i="1"/>
  <c r="Y262" i="1"/>
  <c r="X262" i="1"/>
  <c r="W262" i="1"/>
  <c r="V262" i="1"/>
  <c r="U262" i="1"/>
  <c r="A207" i="5"/>
  <c r="AF34" i="1"/>
  <c r="AE34" i="1"/>
  <c r="AD34" i="1"/>
  <c r="AC34" i="1"/>
  <c r="W34" i="1"/>
  <c r="V34" i="1"/>
  <c r="U34" i="1"/>
  <c r="AF33" i="1"/>
  <c r="AE33" i="1"/>
  <c r="AD33" i="1"/>
  <c r="AC33" i="1"/>
  <c r="W33" i="1"/>
  <c r="V33" i="1"/>
  <c r="U33" i="1"/>
  <c r="AF29" i="1"/>
  <c r="AE29" i="1"/>
  <c r="AD29" i="1"/>
  <c r="AC29" i="1"/>
  <c r="W29" i="1"/>
  <c r="V29" i="1"/>
  <c r="U29" i="1"/>
  <c r="AF26" i="1"/>
  <c r="AE26" i="1"/>
  <c r="AD26" i="1"/>
  <c r="AC26" i="1"/>
  <c r="W26" i="1"/>
  <c r="V26" i="1"/>
  <c r="U26" i="1"/>
  <c r="AF25" i="1"/>
  <c r="AE25" i="1"/>
  <c r="AD25" i="1"/>
  <c r="AC25" i="1"/>
  <c r="W25" i="1"/>
  <c r="V25" i="1"/>
  <c r="U25" i="1"/>
  <c r="AF24" i="1"/>
  <c r="AE24" i="1"/>
  <c r="AD24" i="1"/>
  <c r="AC24" i="1"/>
  <c r="W24" i="1"/>
  <c r="V24" i="1"/>
  <c r="U24" i="1"/>
  <c r="AF23" i="1"/>
  <c r="AE23" i="1"/>
  <c r="AD23" i="1"/>
  <c r="AC23" i="1"/>
  <c r="W23" i="1"/>
  <c r="V23" i="1"/>
  <c r="U23" i="1"/>
  <c r="AF22" i="1"/>
  <c r="AE22" i="1"/>
  <c r="AD22" i="1"/>
  <c r="AC22" i="1"/>
  <c r="W22" i="1"/>
  <c r="V22" i="1"/>
  <c r="U22" i="1"/>
  <c r="AF203" i="1"/>
  <c r="AE203" i="1"/>
  <c r="AD203" i="1"/>
  <c r="AC203" i="1"/>
  <c r="AB203" i="1"/>
  <c r="AA203" i="1"/>
  <c r="Z203" i="1"/>
  <c r="Y203" i="1"/>
  <c r="X203" i="1"/>
  <c r="W203" i="1"/>
  <c r="V203" i="1"/>
  <c r="U203" i="1"/>
  <c r="AF136" i="1"/>
  <c r="AE136" i="1"/>
  <c r="AD136" i="1"/>
  <c r="AC136" i="1"/>
  <c r="W136" i="1"/>
  <c r="V136" i="1"/>
  <c r="U136" i="1"/>
  <c r="AF135" i="1"/>
  <c r="AE135" i="1"/>
  <c r="AD135" i="1"/>
  <c r="AC135" i="1"/>
  <c r="W135" i="1"/>
  <c r="V135" i="1"/>
  <c r="U135" i="1"/>
  <c r="AF137" i="1"/>
  <c r="AE137" i="1"/>
  <c r="AD137" i="1"/>
  <c r="AC137" i="1"/>
  <c r="W137" i="1"/>
  <c r="V137" i="1"/>
  <c r="U137" i="1"/>
  <c r="AF235" i="1"/>
  <c r="AE235" i="1"/>
  <c r="AD235" i="1"/>
  <c r="AC235" i="1"/>
  <c r="AB235" i="1"/>
  <c r="AA235" i="1"/>
  <c r="Z235" i="1"/>
  <c r="Y235" i="1"/>
  <c r="X235" i="1"/>
  <c r="W235" i="1"/>
  <c r="V235" i="1"/>
  <c r="U235" i="1"/>
  <c r="AF234" i="1"/>
  <c r="AE234" i="1"/>
  <c r="AD234" i="1"/>
  <c r="AC234" i="1"/>
  <c r="AB234" i="1"/>
  <c r="AA234" i="1"/>
  <c r="Z234" i="1"/>
  <c r="Y234" i="1"/>
  <c r="X234" i="1"/>
  <c r="W234" i="1"/>
  <c r="V234" i="1"/>
  <c r="U234" i="1"/>
  <c r="AF233" i="1"/>
  <c r="AE233" i="1"/>
  <c r="AD233" i="1"/>
  <c r="AC233" i="1"/>
  <c r="AB233" i="1"/>
  <c r="AA233" i="1"/>
  <c r="Z233" i="1"/>
  <c r="Y233" i="1"/>
  <c r="X233" i="1"/>
  <c r="W233" i="1"/>
  <c r="V233" i="1"/>
  <c r="U233" i="1"/>
  <c r="AF250" i="1"/>
  <c r="AE250" i="1"/>
  <c r="AD250" i="1"/>
  <c r="AC250" i="1"/>
  <c r="AB250" i="1"/>
  <c r="AA250" i="1"/>
  <c r="Z250" i="1"/>
  <c r="Y250" i="1"/>
  <c r="X250" i="1"/>
  <c r="W250" i="1"/>
  <c r="V250" i="1"/>
  <c r="U250" i="1"/>
  <c r="AF249" i="1"/>
  <c r="AE249" i="1"/>
  <c r="AD249" i="1"/>
  <c r="AC249" i="1"/>
  <c r="AB249" i="1"/>
  <c r="AA249" i="1"/>
  <c r="Z249" i="1"/>
  <c r="Y249" i="1"/>
  <c r="X249" i="1"/>
  <c r="W249" i="1"/>
  <c r="V249" i="1"/>
  <c r="U249" i="1"/>
  <c r="AF247" i="1"/>
  <c r="AE247" i="1"/>
  <c r="AD247" i="1"/>
  <c r="AC247" i="1"/>
  <c r="W247" i="1"/>
  <c r="V247" i="1"/>
  <c r="U247" i="1"/>
  <c r="AF246" i="1"/>
  <c r="AE246" i="1"/>
  <c r="AD246" i="1"/>
  <c r="AC246" i="1"/>
  <c r="W246" i="1"/>
  <c r="V246" i="1"/>
  <c r="U246" i="1"/>
  <c r="U248" i="1"/>
  <c r="V248" i="1"/>
  <c r="W248" i="1"/>
  <c r="AC248" i="1"/>
  <c r="AD248" i="1"/>
  <c r="AE248" i="1"/>
  <c r="AF248" i="1"/>
  <c r="AF229" i="1"/>
  <c r="AE229" i="1"/>
  <c r="AD229" i="1"/>
  <c r="AC229" i="1"/>
  <c r="AB229" i="1"/>
  <c r="AA229" i="1"/>
  <c r="Z229" i="1"/>
  <c r="Y229" i="1"/>
  <c r="X229" i="1"/>
  <c r="W229" i="1"/>
  <c r="V229" i="1"/>
  <c r="U229" i="1"/>
  <c r="AF230" i="1"/>
  <c r="AE230" i="1"/>
  <c r="AD230" i="1"/>
  <c r="AC230" i="1"/>
  <c r="AB230" i="1"/>
  <c r="AA230" i="1"/>
  <c r="Z230" i="1"/>
  <c r="X230" i="1"/>
  <c r="W230" i="1"/>
  <c r="V230" i="1"/>
  <c r="U230" i="1"/>
  <c r="AF173" i="1"/>
  <c r="AE173" i="1"/>
  <c r="AD173" i="1"/>
  <c r="AC173" i="1"/>
  <c r="AB173" i="1"/>
  <c r="AA173" i="1"/>
  <c r="Z173" i="1"/>
  <c r="Y173" i="1"/>
  <c r="X173" i="1"/>
  <c r="W173" i="1"/>
  <c r="V173" i="1"/>
  <c r="U173" i="1"/>
  <c r="AF143" i="1"/>
  <c r="AE143" i="1"/>
  <c r="AD143" i="1"/>
  <c r="AC143" i="1"/>
  <c r="W143" i="1"/>
  <c r="V143" i="1"/>
  <c r="U143" i="1"/>
  <c r="A203" i="5"/>
  <c r="U120" i="1" l="1"/>
  <c r="U126" i="1"/>
  <c r="X132" i="1"/>
  <c r="X127" i="1"/>
  <c r="Z126" i="1"/>
  <c r="Y126" i="1"/>
  <c r="X126" i="1"/>
  <c r="Z128" i="1"/>
  <c r="Z127" i="1"/>
  <c r="Z131" i="1"/>
  <c r="AA132" i="1"/>
  <c r="AA127" i="1"/>
  <c r="AA133" i="1"/>
  <c r="AA126" i="1"/>
  <c r="AA130" i="1"/>
  <c r="AA131" i="1"/>
  <c r="AA128" i="1"/>
  <c r="Y131" i="1"/>
  <c r="AA129" i="1"/>
  <c r="Y128" i="1"/>
  <c r="X131" i="1"/>
  <c r="AA248" i="1"/>
  <c r="AB129" i="1"/>
  <c r="Y133" i="1"/>
  <c r="Z132" i="1"/>
  <c r="Y132" i="1"/>
  <c r="X130" i="1"/>
  <c r="X128" i="1"/>
  <c r="Z130" i="1"/>
  <c r="Z129" i="1"/>
  <c r="AB133" i="1"/>
  <c r="Y129" i="1"/>
  <c r="Y127" i="1"/>
  <c r="AB130" i="1"/>
  <c r="Z133" i="1"/>
  <c r="S131" i="1"/>
  <c r="S127" i="1"/>
  <c r="S128" i="1"/>
  <c r="S133" i="1"/>
  <c r="S132" i="1"/>
  <c r="S129" i="1"/>
  <c r="S130" i="1"/>
  <c r="S126" i="1"/>
  <c r="AB126" i="1"/>
  <c r="X133" i="1"/>
  <c r="X129" i="1"/>
  <c r="Y130" i="1"/>
  <c r="AI176" i="5"/>
  <c r="AH176" i="5"/>
  <c r="AI178" i="5"/>
  <c r="AH178" i="5"/>
  <c r="T178" i="5"/>
  <c r="T176" i="5"/>
  <c r="AI61" i="5"/>
  <c r="AH61" i="5"/>
  <c r="T61" i="5"/>
  <c r="AI62" i="5"/>
  <c r="AH62" i="5"/>
  <c r="T62" i="5"/>
  <c r="AH55" i="1"/>
  <c r="AG55" i="1"/>
  <c r="S55" i="1"/>
  <c r="AH260" i="1"/>
  <c r="AG260" i="1"/>
  <c r="S260" i="1"/>
  <c r="S262" i="1"/>
  <c r="AH262" i="1"/>
  <c r="AG262" i="1"/>
  <c r="Z34" i="1"/>
  <c r="AB34" i="1"/>
  <c r="X29" i="1"/>
  <c r="Z33" i="1"/>
  <c r="X33" i="1"/>
  <c r="Y29" i="1"/>
  <c r="AA33" i="1"/>
  <c r="Y34" i="1"/>
  <c r="Y33" i="1"/>
  <c r="Z29" i="1"/>
  <c r="AB33" i="1"/>
  <c r="AB29" i="1"/>
  <c r="AA34" i="1"/>
  <c r="AA29" i="1"/>
  <c r="X34" i="1"/>
  <c r="S34" i="1"/>
  <c r="S33" i="1"/>
  <c r="Z25" i="1"/>
  <c r="S29" i="1"/>
  <c r="AA26" i="1"/>
  <c r="AB26" i="1"/>
  <c r="AB25" i="1"/>
  <c r="Y24" i="1"/>
  <c r="AA24" i="1"/>
  <c r="AB23" i="1"/>
  <c r="X23" i="1"/>
  <c r="Y23" i="1"/>
  <c r="Z23" i="1"/>
  <c r="Y22" i="1"/>
  <c r="S26" i="1"/>
  <c r="AB22" i="1"/>
  <c r="AB24" i="1"/>
  <c r="X26" i="1"/>
  <c r="AA22" i="1"/>
  <c r="X25" i="1"/>
  <c r="Y26" i="1"/>
  <c r="Z22" i="1"/>
  <c r="AA23" i="1"/>
  <c r="X24" i="1"/>
  <c r="Y25" i="1"/>
  <c r="Z26" i="1"/>
  <c r="Z24" i="1"/>
  <c r="AA25" i="1"/>
  <c r="S24" i="1"/>
  <c r="S25" i="1"/>
  <c r="S23" i="1"/>
  <c r="S22" i="1"/>
  <c r="X22" i="1"/>
  <c r="AH203" i="1"/>
  <c r="AG203" i="1"/>
  <c r="S203" i="1"/>
  <c r="AB137" i="1"/>
  <c r="X137" i="1"/>
  <c r="Y137" i="1"/>
  <c r="Z137" i="1"/>
  <c r="AA136" i="1"/>
  <c r="AB136" i="1"/>
  <c r="Z136" i="1"/>
  <c r="Y136" i="1"/>
  <c r="X136" i="1"/>
  <c r="AB135" i="1"/>
  <c r="X135" i="1"/>
  <c r="Y135" i="1"/>
  <c r="Z135" i="1"/>
  <c r="AA135" i="1"/>
  <c r="S136" i="1"/>
  <c r="S135" i="1"/>
  <c r="AA137" i="1"/>
  <c r="S137" i="1"/>
  <c r="AH233" i="1"/>
  <c r="AG233" i="1"/>
  <c r="AO233" i="1" s="1"/>
  <c r="AH234" i="1"/>
  <c r="AG234" i="1"/>
  <c r="AO234" i="1" s="1"/>
  <c r="AH235" i="1"/>
  <c r="AG235" i="1"/>
  <c r="AO235" i="1" s="1"/>
  <c r="S235" i="1"/>
  <c r="S234" i="1"/>
  <c r="S233" i="1"/>
  <c r="AH250" i="1"/>
  <c r="AG250" i="1"/>
  <c r="S250" i="1"/>
  <c r="X248" i="1"/>
  <c r="AH249" i="1"/>
  <c r="AG249" i="1"/>
  <c r="Z248" i="1"/>
  <c r="S249" i="1"/>
  <c r="Y248" i="1"/>
  <c r="AA247" i="1"/>
  <c r="AB248" i="1"/>
  <c r="Z247" i="1"/>
  <c r="AB247" i="1"/>
  <c r="Y247" i="1"/>
  <c r="X247" i="1"/>
  <c r="S247" i="1"/>
  <c r="S248" i="1"/>
  <c r="AA246" i="1"/>
  <c r="X246" i="1"/>
  <c r="Z246" i="1"/>
  <c r="AB246" i="1"/>
  <c r="Y246" i="1"/>
  <c r="S246" i="1"/>
  <c r="AH229" i="1"/>
  <c r="AG229" i="1"/>
  <c r="S229" i="1"/>
  <c r="S230" i="1"/>
  <c r="Y230" i="1"/>
  <c r="AH230" i="1" s="1"/>
  <c r="AH173" i="1"/>
  <c r="AG173" i="1"/>
  <c r="S173" i="1"/>
  <c r="X143" i="1"/>
  <c r="AB143" i="1"/>
  <c r="Z143" i="1"/>
  <c r="AA143" i="1"/>
  <c r="S143" i="1"/>
  <c r="Y143" i="1"/>
  <c r="AI42" i="5"/>
  <c r="AH42" i="5"/>
  <c r="T42" i="5"/>
  <c r="AI203" i="5"/>
  <c r="AH203" i="5"/>
  <c r="T203" i="5"/>
  <c r="T220" i="5"/>
  <c r="T16" i="5"/>
  <c r="AO229" i="1" l="1"/>
  <c r="AG126" i="1"/>
  <c r="AG130" i="1"/>
  <c r="U20" i="6"/>
  <c r="AH130" i="1"/>
  <c r="AH132" i="1"/>
  <c r="AG132" i="1"/>
  <c r="AG129" i="1"/>
  <c r="AH129" i="1"/>
  <c r="AG127" i="1"/>
  <c r="AH127" i="1"/>
  <c r="AG131" i="1"/>
  <c r="AH131" i="1"/>
  <c r="AH126" i="1"/>
  <c r="AG133" i="1"/>
  <c r="AH133" i="1"/>
  <c r="AH128" i="1"/>
  <c r="AG128" i="1"/>
  <c r="AG29" i="1"/>
  <c r="AK29" i="1" s="1"/>
  <c r="AH29" i="1"/>
  <c r="AH33" i="1"/>
  <c r="AG33" i="1"/>
  <c r="AK33" i="1" s="1"/>
  <c r="AG34" i="1"/>
  <c r="AK34" i="1" s="1"/>
  <c r="AH34" i="1"/>
  <c r="AH23" i="1"/>
  <c r="AH25" i="1"/>
  <c r="AH24" i="1"/>
  <c r="AG23" i="1"/>
  <c r="AK23" i="1" s="1"/>
  <c r="AG25" i="1"/>
  <c r="AK25" i="1" s="1"/>
  <c r="AH26" i="1"/>
  <c r="AG24" i="1"/>
  <c r="AK24" i="1" s="1"/>
  <c r="AH22" i="1"/>
  <c r="AG26" i="1"/>
  <c r="AK26" i="1" s="1"/>
  <c r="AG22" i="1"/>
  <c r="AK22" i="1" s="1"/>
  <c r="AH136" i="1"/>
  <c r="AH137" i="1"/>
  <c r="AG137" i="1"/>
  <c r="AK137" i="1" s="1"/>
  <c r="AH135" i="1"/>
  <c r="AG135" i="1"/>
  <c r="AK135" i="1" s="1"/>
  <c r="AG136" i="1"/>
  <c r="AK136" i="1" s="1"/>
  <c r="AH247" i="1"/>
  <c r="AG247" i="1"/>
  <c r="AH246" i="1"/>
  <c r="AG246" i="1"/>
  <c r="AG248" i="1"/>
  <c r="AH248" i="1"/>
  <c r="AG230" i="1"/>
  <c r="AO230" i="1" s="1"/>
  <c r="AH143" i="1"/>
  <c r="AG143" i="1"/>
  <c r="AM143" i="1" s="1"/>
  <c r="AH16" i="5"/>
  <c r="AQ16" i="5" s="1"/>
  <c r="AI16" i="5"/>
  <c r="AS16" i="5" l="1"/>
  <c r="AM16" i="5"/>
  <c r="AO16" i="5"/>
  <c r="B113" i="6" l="1"/>
  <c r="B135" i="6"/>
  <c r="B136" i="6"/>
  <c r="B133" i="6"/>
  <c r="B125" i="6"/>
  <c r="B132" i="6"/>
  <c r="B131" i="6"/>
  <c r="B123" i="6"/>
  <c r="B57" i="6"/>
  <c r="B53" i="6"/>
  <c r="B56" i="6"/>
  <c r="B88" i="6"/>
  <c r="A88" i="6"/>
  <c r="B96" i="6"/>
  <c r="A96" i="6"/>
  <c r="B107" i="6"/>
  <c r="A107" i="6"/>
  <c r="B108" i="6"/>
  <c r="A108" i="6"/>
  <c r="B97" i="6"/>
  <c r="A97" i="6"/>
  <c r="B243" i="7"/>
  <c r="M245" i="7" s="1"/>
  <c r="B215" i="7"/>
  <c r="B216" i="7"/>
  <c r="B212" i="7"/>
  <c r="B209" i="7"/>
  <c r="B199" i="7"/>
  <c r="B169" i="7"/>
  <c r="A169" i="7"/>
  <c r="B163" i="7"/>
  <c r="A163" i="7"/>
  <c r="B158" i="7"/>
  <c r="A158" i="7"/>
  <c r="B138" i="7"/>
  <c r="A138" i="7"/>
  <c r="B161" i="7"/>
  <c r="A161" i="7"/>
  <c r="B160" i="7"/>
  <c r="A160" i="7"/>
  <c r="B166" i="7"/>
  <c r="B39" i="7"/>
  <c r="B40" i="7"/>
  <c r="B43" i="7"/>
  <c r="B21" i="7"/>
  <c r="B119" i="7"/>
  <c r="B104" i="7"/>
  <c r="B103" i="7"/>
  <c r="B105" i="7"/>
  <c r="B136" i="9"/>
  <c r="B240" i="9"/>
  <c r="B241" i="9"/>
  <c r="B387" i="9"/>
  <c r="B367" i="9"/>
  <c r="B371" i="9"/>
  <c r="B408" i="9"/>
  <c r="B370" i="9"/>
  <c r="B99" i="9"/>
  <c r="B282" i="9"/>
  <c r="A282" i="9"/>
  <c r="B348" i="9"/>
  <c r="A348" i="9"/>
  <c r="B346" i="9"/>
  <c r="A346" i="9"/>
  <c r="B351" i="9"/>
  <c r="A351" i="9"/>
  <c r="B318" i="9"/>
  <c r="A318" i="9"/>
  <c r="B78" i="9"/>
  <c r="B77" i="9"/>
  <c r="N245" i="7" l="1"/>
  <c r="O245" i="7"/>
  <c r="I245" i="7"/>
  <c r="Q245" i="7"/>
  <c r="P245" i="7"/>
  <c r="J245" i="7"/>
  <c r="R245" i="7"/>
  <c r="K245" i="7"/>
  <c r="S245" i="7"/>
  <c r="L245" i="7"/>
  <c r="T245" i="7"/>
  <c r="B224" i="9"/>
  <c r="B151" i="9"/>
  <c r="B248" i="9"/>
  <c r="B189" i="9"/>
  <c r="B207" i="9"/>
  <c r="B249" i="9"/>
  <c r="B157" i="9"/>
  <c r="B242" i="9"/>
  <c r="B244" i="9"/>
  <c r="B215" i="9"/>
  <c r="B216" i="9"/>
  <c r="B179" i="9"/>
  <c r="B135" i="9"/>
  <c r="U113" i="6" l="1"/>
  <c r="U135" i="6"/>
  <c r="U136" i="6"/>
  <c r="U133" i="6"/>
  <c r="U125" i="6"/>
  <c r="U132" i="6"/>
  <c r="U123" i="6"/>
  <c r="U131" i="6"/>
  <c r="AJ57" i="6"/>
  <c r="AJ53" i="6"/>
  <c r="U57" i="6"/>
  <c r="AI53" i="6"/>
  <c r="AI57" i="6"/>
  <c r="U53" i="6"/>
  <c r="U56" i="6"/>
  <c r="U107" i="6"/>
  <c r="U88" i="6"/>
  <c r="U96" i="6"/>
  <c r="U108" i="6"/>
  <c r="U97" i="6"/>
  <c r="U243" i="7"/>
  <c r="U245" i="7" s="1"/>
  <c r="U215" i="7"/>
  <c r="U216" i="7"/>
  <c r="U209" i="7"/>
  <c r="U212" i="7"/>
  <c r="U199" i="7"/>
  <c r="U169" i="7"/>
  <c r="U163" i="7"/>
  <c r="U158" i="7"/>
  <c r="U161" i="7"/>
  <c r="U138" i="7"/>
  <c r="U160" i="7"/>
  <c r="U166" i="7"/>
  <c r="U39" i="7"/>
  <c r="U40" i="7"/>
  <c r="U43" i="7"/>
  <c r="U21" i="7"/>
  <c r="U119" i="7"/>
  <c r="U104" i="7"/>
  <c r="U103" i="7"/>
  <c r="U105" i="7"/>
  <c r="U136" i="9"/>
  <c r="U240" i="9"/>
  <c r="U241" i="9"/>
  <c r="U387" i="9"/>
  <c r="U367" i="9"/>
  <c r="U371" i="9"/>
  <c r="U408" i="9"/>
  <c r="U370" i="9"/>
  <c r="U99" i="9"/>
  <c r="U282" i="9"/>
  <c r="U348" i="9"/>
  <c r="U351" i="9"/>
  <c r="U346" i="9"/>
  <c r="U318" i="9"/>
  <c r="U78" i="9"/>
  <c r="U77" i="9"/>
  <c r="B163" i="16"/>
  <c r="A163" i="16"/>
  <c r="B54" i="16"/>
  <c r="B25" i="16"/>
  <c r="B135" i="16"/>
  <c r="B65" i="16"/>
  <c r="B187" i="16"/>
  <c r="A187" i="16"/>
  <c r="B177" i="16"/>
  <c r="A177" i="16"/>
  <c r="B167" i="16"/>
  <c r="A167" i="16"/>
  <c r="B227" i="16"/>
  <c r="B199" i="16"/>
  <c r="B198" i="16"/>
  <c r="B28" i="16"/>
  <c r="B13" i="18"/>
  <c r="AJ56" i="6" l="1"/>
  <c r="AI56" i="6"/>
  <c r="AJ21" i="7"/>
  <c r="AI21" i="7"/>
  <c r="AI99" i="9"/>
  <c r="AJ99" i="9"/>
  <c r="U224" i="9"/>
  <c r="U151" i="9"/>
  <c r="U248" i="9"/>
  <c r="U189" i="9"/>
  <c r="U207" i="9"/>
  <c r="U249" i="9"/>
  <c r="U157" i="9"/>
  <c r="U242" i="9"/>
  <c r="U244" i="9"/>
  <c r="U215" i="9"/>
  <c r="U216" i="9"/>
  <c r="U179" i="9"/>
  <c r="U135" i="9"/>
  <c r="U187" i="16" l="1"/>
  <c r="AM21" i="7"/>
  <c r="AQ21" i="7"/>
  <c r="AO21" i="7"/>
  <c r="AJ157" i="9"/>
  <c r="AI157" i="9"/>
  <c r="U163" i="16"/>
  <c r="U54" i="16"/>
  <c r="U25" i="16"/>
  <c r="U135" i="16"/>
  <c r="U65" i="16"/>
  <c r="U177" i="16"/>
  <c r="U167" i="16"/>
  <c r="U227" i="16"/>
  <c r="U199" i="16"/>
  <c r="U28" i="16"/>
  <c r="U198" i="16"/>
  <c r="AU157" i="9" l="1"/>
  <c r="AS157" i="9"/>
  <c r="AQ157" i="9"/>
  <c r="AO157" i="9"/>
  <c r="AJ65" i="16"/>
  <c r="AI65" i="16"/>
  <c r="B36" i="18" l="1"/>
  <c r="A36" i="18"/>
  <c r="B35" i="18"/>
  <c r="A35" i="18"/>
  <c r="B28" i="18"/>
  <c r="A28" i="18"/>
  <c r="B57" i="18"/>
  <c r="T36" i="18" l="1"/>
  <c r="T35" i="18"/>
  <c r="T57" i="18"/>
  <c r="T28" i="18"/>
  <c r="Q26" i="33" l="1"/>
  <c r="T227" i="5" l="1"/>
  <c r="T229" i="5" s="1"/>
  <c r="I229" i="5"/>
  <c r="J229" i="5"/>
  <c r="K229" i="5"/>
  <c r="L229" i="5"/>
  <c r="M229" i="5"/>
  <c r="N229" i="5"/>
  <c r="O229" i="5"/>
  <c r="P229" i="5"/>
  <c r="Q229" i="5"/>
  <c r="R229" i="5"/>
  <c r="S229" i="5"/>
  <c r="H229" i="5"/>
  <c r="AG207" i="5"/>
  <c r="AF207" i="5"/>
  <c r="AE207" i="5"/>
  <c r="AB207" i="5"/>
  <c r="AA207" i="5"/>
  <c r="Z207" i="5"/>
  <c r="Y207" i="5"/>
  <c r="X207" i="5"/>
  <c r="W207" i="5"/>
  <c r="V207" i="5"/>
  <c r="C15" i="3" l="1"/>
  <c r="AH207" i="5"/>
  <c r="AP207" i="5" s="1"/>
  <c r="T207" i="5"/>
  <c r="U94" i="9" l="1"/>
  <c r="U457" i="9" s="1"/>
  <c r="T457" i="9"/>
  <c r="S457" i="9"/>
  <c r="R457" i="9"/>
  <c r="Q457" i="9"/>
  <c r="P457" i="9"/>
  <c r="O457" i="9"/>
  <c r="N457" i="9"/>
  <c r="M457" i="9"/>
  <c r="L457" i="9"/>
  <c r="K457" i="9"/>
  <c r="J457" i="9"/>
  <c r="I457" i="9"/>
  <c r="T170" i="6"/>
  <c r="S170" i="6"/>
  <c r="R170" i="6"/>
  <c r="Q170" i="6"/>
  <c r="P170" i="6"/>
  <c r="O170" i="6"/>
  <c r="N170" i="6"/>
  <c r="M170" i="6"/>
  <c r="L170" i="6"/>
  <c r="K170" i="6"/>
  <c r="J170" i="6"/>
  <c r="I170" i="6"/>
  <c r="AJ138" i="6"/>
  <c r="AI94" i="9" l="1"/>
  <c r="AJ94" i="9"/>
  <c r="X123" i="1" l="1"/>
  <c r="AC123" i="1"/>
  <c r="V122" i="1"/>
  <c r="Z122" i="1"/>
  <c r="AA122" i="1"/>
  <c r="AB122" i="1"/>
  <c r="AC122" i="1"/>
  <c r="AD122" i="1"/>
  <c r="AE122" i="1"/>
  <c r="AF122" i="1"/>
  <c r="V121" i="1"/>
  <c r="W121" i="1"/>
  <c r="X121" i="1"/>
  <c r="Y121" i="1"/>
  <c r="Z121" i="1"/>
  <c r="AA121" i="1"/>
  <c r="AB121" i="1"/>
  <c r="AC121" i="1"/>
  <c r="AD121" i="1"/>
  <c r="AE121" i="1"/>
  <c r="AF121" i="1"/>
  <c r="W123" i="1"/>
  <c r="AD123" i="1"/>
  <c r="W120" i="1"/>
  <c r="X120" i="1"/>
  <c r="Y120" i="1"/>
  <c r="Z120" i="1"/>
  <c r="AA120" i="1"/>
  <c r="AB120" i="1"/>
  <c r="AC120" i="1"/>
  <c r="AD120" i="1"/>
  <c r="AE120" i="1"/>
  <c r="AF120" i="1"/>
  <c r="AA123" i="1"/>
  <c r="AF123" i="1"/>
  <c r="Y122" i="1"/>
  <c r="V125" i="1"/>
  <c r="W125" i="1"/>
  <c r="X125" i="1"/>
  <c r="Y125" i="1"/>
  <c r="Z125" i="1"/>
  <c r="AA125" i="1"/>
  <c r="AB125" i="1"/>
  <c r="AC125" i="1"/>
  <c r="AD125" i="1"/>
  <c r="AE125" i="1"/>
  <c r="AF125" i="1"/>
  <c r="V123" i="1"/>
  <c r="AB123" i="1"/>
  <c r="X122" i="1"/>
  <c r="Y123" i="1"/>
  <c r="AE123" i="1"/>
  <c r="W122" i="1"/>
  <c r="V120" i="1"/>
  <c r="Z123" i="1"/>
  <c r="V124" i="1"/>
  <c r="W124" i="1"/>
  <c r="X124" i="1"/>
  <c r="Y124" i="1"/>
  <c r="Z124" i="1"/>
  <c r="AA124" i="1"/>
  <c r="AB124" i="1"/>
  <c r="AC124" i="1"/>
  <c r="AD124" i="1"/>
  <c r="AE124" i="1"/>
  <c r="AF124" i="1"/>
  <c r="U121" i="1"/>
  <c r="U125" i="1"/>
  <c r="U122" i="1"/>
  <c r="U124" i="1"/>
  <c r="U123" i="1"/>
  <c r="S123" i="1" l="1"/>
  <c r="S121" i="1"/>
  <c r="S120" i="1"/>
  <c r="S124" i="1"/>
  <c r="S125" i="1"/>
  <c r="S122" i="1"/>
  <c r="AU11" i="9" l="1"/>
  <c r="AS11" i="9"/>
  <c r="AQ11" i="9"/>
  <c r="AO11" i="9"/>
  <c r="AS39" i="18"/>
  <c r="AS14" i="18"/>
  <c r="AQ14" i="18"/>
  <c r="AO14" i="18"/>
  <c r="AM14" i="18"/>
  <c r="AR51" i="7"/>
  <c r="AM50" i="7"/>
  <c r="AO50" i="7"/>
  <c r="AQ50" i="7"/>
  <c r="AT64" i="6"/>
  <c r="AR64" i="6"/>
  <c r="AP64" i="6"/>
  <c r="AN64" i="6"/>
  <c r="AT18" i="6"/>
  <c r="AR18" i="6"/>
  <c r="AP18" i="6"/>
  <c r="AN18" i="6"/>
  <c r="AT17" i="6"/>
  <c r="AR17" i="6"/>
  <c r="AP17" i="6"/>
  <c r="AN17" i="6"/>
  <c r="AT16" i="6"/>
  <c r="AR16" i="6"/>
  <c r="AP16" i="6"/>
  <c r="AN16" i="6"/>
  <c r="AT15" i="6"/>
  <c r="AR15" i="6"/>
  <c r="AP15" i="6"/>
  <c r="AN15" i="6"/>
  <c r="AT14" i="6"/>
  <c r="AR14" i="6"/>
  <c r="AP14" i="6"/>
  <c r="AN14" i="6"/>
  <c r="AT13" i="6"/>
  <c r="AR13" i="6"/>
  <c r="AP13" i="6"/>
  <c r="AN13" i="6"/>
  <c r="AT12" i="6"/>
  <c r="AT149" i="6" s="1"/>
  <c r="AR12" i="6"/>
  <c r="AP12" i="6"/>
  <c r="AP149" i="6" s="1"/>
  <c r="AN12" i="6"/>
  <c r="AN149" i="6" s="1"/>
  <c r="AJ141" i="16" l="1"/>
  <c r="AJ139" i="16"/>
  <c r="AJ46" i="16"/>
  <c r="AJ44" i="16"/>
  <c r="AJ69" i="9"/>
  <c r="AO48" i="5" l="1"/>
  <c r="AO53" i="5"/>
  <c r="AS53" i="5" s="1"/>
  <c r="AO52" i="5"/>
  <c r="AS52" i="5" s="1"/>
  <c r="AO51" i="5"/>
  <c r="AS51" i="5" s="1"/>
  <c r="AO50" i="5"/>
  <c r="AS50" i="5" s="1"/>
  <c r="AO49" i="5"/>
  <c r="AS49" i="5" s="1"/>
  <c r="AS45" i="5"/>
  <c r="AQ45" i="5"/>
  <c r="AO45" i="5"/>
  <c r="AS10" i="5"/>
  <c r="AO65" i="5" l="1"/>
  <c r="AS48" i="5"/>
  <c r="AS65" i="5" s="1"/>
  <c r="AM266" i="1"/>
  <c r="AK266" i="1"/>
  <c r="AO195" i="1"/>
  <c r="AO72" i="1"/>
  <c r="AM72" i="1"/>
  <c r="AR32" i="6" l="1"/>
  <c r="AN32" i="6"/>
  <c r="AP32" i="6"/>
  <c r="AT32" i="6"/>
  <c r="X173" i="5" l="1"/>
  <c r="W173" i="5"/>
  <c r="V173" i="5"/>
  <c r="L16" i="3" l="1"/>
  <c r="L29" i="3" s="1"/>
  <c r="AJ129" i="6" l="1"/>
  <c r="AI129" i="6"/>
  <c r="AI117" i="9"/>
  <c r="AJ117" i="9"/>
  <c r="AJ135" i="7"/>
  <c r="AI135" i="7"/>
  <c r="AJ431" i="9"/>
  <c r="AI431" i="9"/>
  <c r="AJ67" i="6"/>
  <c r="AI67" i="6"/>
  <c r="AJ144" i="7"/>
  <c r="AI144" i="7"/>
  <c r="AI146" i="9"/>
  <c r="AJ146" i="9"/>
  <c r="AI14" i="7"/>
  <c r="AJ14" i="7"/>
  <c r="AJ237" i="9"/>
  <c r="AI237" i="9"/>
  <c r="AI383" i="9"/>
  <c r="AJ383" i="9"/>
  <c r="AJ129" i="7"/>
  <c r="AI129" i="7"/>
  <c r="AI243" i="9"/>
  <c r="AJ243" i="9"/>
  <c r="AJ213" i="7"/>
  <c r="AI213" i="7"/>
  <c r="AI25" i="16"/>
  <c r="AJ282" i="9"/>
  <c r="AJ318" i="9"/>
  <c r="AI54" i="16"/>
  <c r="AJ54" i="16"/>
  <c r="AI135" i="16"/>
  <c r="AJ135" i="16"/>
  <c r="AJ88" i="6"/>
  <c r="AI88" i="6"/>
  <c r="AI103" i="7"/>
  <c r="AJ103" i="7"/>
  <c r="AJ133" i="6"/>
  <c r="AI133" i="6"/>
  <c r="AJ215" i="9"/>
  <c r="AI215" i="9"/>
  <c r="AJ125" i="6"/>
  <c r="AI125" i="6"/>
  <c r="AJ108" i="6"/>
  <c r="AI108" i="6"/>
  <c r="AJ97" i="6"/>
  <c r="AI97" i="6"/>
  <c r="AI209" i="7"/>
  <c r="AJ209" i="7"/>
  <c r="AI348" i="9"/>
  <c r="AJ348" i="9"/>
  <c r="AI136" i="6"/>
  <c r="AJ136" i="6"/>
  <c r="AI77" i="9"/>
  <c r="AJ77" i="9"/>
  <c r="AJ367" i="9"/>
  <c r="AI367" i="9"/>
  <c r="AJ169" i="7"/>
  <c r="AI169" i="7"/>
  <c r="AJ387" i="9"/>
  <c r="AI387" i="9"/>
  <c r="AI207" i="9"/>
  <c r="AJ207" i="9"/>
  <c r="AJ96" i="6"/>
  <c r="AI96" i="6"/>
  <c r="AI242" i="9"/>
  <c r="AJ242" i="9"/>
  <c r="AJ39" i="7"/>
  <c r="AI39" i="7"/>
  <c r="AJ370" i="9"/>
  <c r="AI370" i="9"/>
  <c r="AI179" i="9"/>
  <c r="AJ179" i="9"/>
  <c r="AJ216" i="7"/>
  <c r="AI216" i="7"/>
  <c r="AJ158" i="7"/>
  <c r="AI158" i="7"/>
  <c r="AI107" i="6"/>
  <c r="AJ107" i="6"/>
  <c r="AI78" i="9"/>
  <c r="AJ78" i="9"/>
  <c r="AI216" i="9"/>
  <c r="AJ216" i="9"/>
  <c r="AJ25" i="16"/>
  <c r="AJ136" i="9"/>
  <c r="AI136" i="9"/>
  <c r="AJ163" i="7"/>
  <c r="AI163" i="7"/>
  <c r="AI189" i="9"/>
  <c r="AJ189" i="9"/>
  <c r="AJ249" i="9"/>
  <c r="AI249" i="9"/>
  <c r="AJ123" i="6"/>
  <c r="AI123" i="6"/>
  <c r="AI282" i="9"/>
  <c r="AJ187" i="16"/>
  <c r="AI187" i="16"/>
  <c r="AJ212" i="7"/>
  <c r="AI212" i="7"/>
  <c r="AI248" i="9"/>
  <c r="AJ248" i="9"/>
  <c r="AI132" i="6"/>
  <c r="AJ132" i="6"/>
  <c r="AI371" i="9"/>
  <c r="AJ371" i="9"/>
  <c r="AI244" i="9"/>
  <c r="AJ244" i="9"/>
  <c r="AI40" i="7"/>
  <c r="AJ40" i="7"/>
  <c r="AJ240" i="9"/>
  <c r="AI240" i="9"/>
  <c r="AJ104" i="7"/>
  <c r="AI104" i="7"/>
  <c r="AJ408" i="9"/>
  <c r="AI408" i="9"/>
  <c r="AJ163" i="16"/>
  <c r="AI163" i="16"/>
  <c r="AI351" i="9"/>
  <c r="AJ351" i="9"/>
  <c r="AI318" i="9"/>
  <c r="AJ346" i="9"/>
  <c r="AI346" i="9"/>
  <c r="AJ43" i="7"/>
  <c r="AI43" i="7"/>
  <c r="AI135" i="9"/>
  <c r="AJ135" i="9"/>
  <c r="AI167" i="16"/>
  <c r="AJ167" i="16"/>
  <c r="AJ160" i="7"/>
  <c r="AI160" i="7"/>
  <c r="AJ241" i="9"/>
  <c r="AI241" i="9"/>
  <c r="AJ138" i="7"/>
  <c r="AI138" i="7"/>
  <c r="AI151" i="9"/>
  <c r="AJ151" i="9"/>
  <c r="AJ177" i="16"/>
  <c r="AI177" i="16"/>
  <c r="AJ131" i="6"/>
  <c r="AI131" i="6"/>
  <c r="AI198" i="16"/>
  <c r="AJ198" i="16"/>
  <c r="AI224" i="9"/>
  <c r="AJ224" i="9"/>
  <c r="AJ105" i="7"/>
  <c r="AI105" i="7"/>
  <c r="AJ135" i="6"/>
  <c r="AI135" i="6"/>
  <c r="AJ166" i="7"/>
  <c r="AI166" i="7"/>
  <c r="AJ215" i="7"/>
  <c r="AI215" i="7"/>
  <c r="AJ161" i="7"/>
  <c r="AI161" i="7"/>
  <c r="AI199" i="16"/>
  <c r="AJ199" i="16"/>
  <c r="AI119" i="7"/>
  <c r="AJ119" i="7"/>
  <c r="AJ199" i="7"/>
  <c r="AI199" i="7"/>
  <c r="B372" i="9"/>
  <c r="B196" i="9"/>
  <c r="B26" i="16"/>
  <c r="B217" i="16"/>
  <c r="A217" i="16"/>
  <c r="B59" i="16"/>
  <c r="B56" i="18"/>
  <c r="AQ14" i="7" l="1"/>
  <c r="AO14" i="7"/>
  <c r="AM14" i="7"/>
  <c r="AU431" i="9"/>
  <c r="AO431" i="9"/>
  <c r="AS431" i="9"/>
  <c r="AQ431" i="9"/>
  <c r="AM129" i="7"/>
  <c r="AQ129" i="7"/>
  <c r="AO129" i="7"/>
  <c r="AQ135" i="7"/>
  <c r="AO135" i="7"/>
  <c r="AM135" i="7"/>
  <c r="AO146" i="9"/>
  <c r="AQ146" i="9"/>
  <c r="AS146" i="9"/>
  <c r="AU146" i="9"/>
  <c r="AM144" i="7"/>
  <c r="AQ144" i="7"/>
  <c r="AO144" i="7"/>
  <c r="AQ117" i="9"/>
  <c r="AS117" i="9"/>
  <c r="AU117" i="9"/>
  <c r="AO117" i="9"/>
  <c r="AT67" i="6"/>
  <c r="AP67" i="6"/>
  <c r="AR67" i="6"/>
  <c r="AN67" i="6"/>
  <c r="AO318" i="9"/>
  <c r="AS318" i="9"/>
  <c r="AU318" i="9"/>
  <c r="AQ318" i="9"/>
  <c r="AP25" i="16"/>
  <c r="AT25" i="16"/>
  <c r="AN25" i="16"/>
  <c r="AR25" i="16"/>
  <c r="AQ39" i="7"/>
  <c r="AO39" i="7"/>
  <c r="AM39" i="7"/>
  <c r="AU151" i="9"/>
  <c r="AS151" i="9"/>
  <c r="AQ151" i="9"/>
  <c r="AO151" i="9"/>
  <c r="AS189" i="9"/>
  <c r="AQ189" i="9"/>
  <c r="AU189" i="9"/>
  <c r="AO189" i="9"/>
  <c r="AT54" i="16"/>
  <c r="AP54" i="16"/>
  <c r="AN54" i="16"/>
  <c r="AR54" i="16"/>
  <c r="AQ138" i="7"/>
  <c r="AO138" i="7"/>
  <c r="AM138" i="7"/>
  <c r="AS282" i="9"/>
  <c r="AU282" i="9"/>
  <c r="AQ282" i="9"/>
  <c r="AO282" i="9"/>
  <c r="AT125" i="6"/>
  <c r="AR125" i="6"/>
  <c r="AP125" i="6"/>
  <c r="AN125" i="6"/>
  <c r="AT88" i="6"/>
  <c r="AR88" i="6"/>
  <c r="AP88" i="6"/>
  <c r="AN88" i="6"/>
  <c r="AU135" i="9"/>
  <c r="AS135" i="9"/>
  <c r="AQ135" i="9"/>
  <c r="AO135" i="9"/>
  <c r="AU78" i="9"/>
  <c r="AS78" i="9"/>
  <c r="AQ78" i="9"/>
  <c r="AO78" i="9"/>
  <c r="AQ179" i="9"/>
  <c r="AO179" i="9"/>
  <c r="AU179" i="9"/>
  <c r="AS179" i="9"/>
  <c r="AQ43" i="7"/>
  <c r="AO43" i="7"/>
  <c r="AM43" i="7"/>
  <c r="AT163" i="16"/>
  <c r="AR163" i="16"/>
  <c r="AN163" i="16"/>
  <c r="AP163" i="16"/>
  <c r="AP123" i="6"/>
  <c r="AN123" i="6"/>
  <c r="AR123" i="6"/>
  <c r="AT123" i="6"/>
  <c r="AU136" i="9"/>
  <c r="AS136" i="9"/>
  <c r="AQ136" i="9"/>
  <c r="AO136" i="9"/>
  <c r="AM40" i="7"/>
  <c r="AQ40" i="7"/>
  <c r="AO40" i="7"/>
  <c r="AS207" i="9"/>
  <c r="AQ207" i="9"/>
  <c r="AO207" i="9"/>
  <c r="AU207" i="9"/>
  <c r="AU77" i="9"/>
  <c r="AO77" i="9"/>
  <c r="AS77" i="9"/>
  <c r="AQ77" i="9"/>
  <c r="AI26" i="16" l="1"/>
  <c r="AI59" i="16"/>
  <c r="AJ59" i="16"/>
  <c r="AJ217" i="16"/>
  <c r="AI217" i="16"/>
  <c r="AJ26" i="16"/>
  <c r="U59" i="16"/>
  <c r="U217" i="16"/>
  <c r="U26" i="16"/>
  <c r="AJ196" i="9"/>
  <c r="AI196" i="9"/>
  <c r="U196" i="9"/>
  <c r="U372" i="9"/>
  <c r="AG209" i="5"/>
  <c r="AF209" i="5"/>
  <c r="AE209" i="5"/>
  <c r="AB209" i="5"/>
  <c r="AA209" i="5"/>
  <c r="Z209" i="5"/>
  <c r="Y209" i="5"/>
  <c r="X209" i="5"/>
  <c r="W209" i="5"/>
  <c r="V209" i="5"/>
  <c r="AG36" i="5"/>
  <c r="AF36" i="5"/>
  <c r="AE36" i="5"/>
  <c r="AB36" i="5"/>
  <c r="AA36" i="5"/>
  <c r="Z36" i="5"/>
  <c r="Y36" i="5"/>
  <c r="X36" i="5"/>
  <c r="W36" i="5"/>
  <c r="V36" i="5"/>
  <c r="AI372" i="9" l="1"/>
  <c r="AJ372" i="9"/>
  <c r="AI209" i="5"/>
  <c r="T36" i="5"/>
  <c r="AH209" i="5"/>
  <c r="T209" i="5"/>
  <c r="AH36" i="5" l="1"/>
  <c r="AI36" i="5"/>
  <c r="AS196" i="9"/>
  <c r="AQ196" i="9"/>
  <c r="AO196" i="9"/>
  <c r="AU196" i="9"/>
  <c r="AR26" i="16"/>
  <c r="AP26" i="16"/>
  <c r="AT26" i="16"/>
  <c r="AN26" i="16"/>
  <c r="T222" i="5" l="1"/>
  <c r="A73" i="5" l="1"/>
  <c r="AF77" i="1"/>
  <c r="AE77" i="1"/>
  <c r="AD77" i="1"/>
  <c r="AC77" i="1"/>
  <c r="AB77" i="1"/>
  <c r="AA77" i="1"/>
  <c r="Z77" i="1"/>
  <c r="Y77" i="1"/>
  <c r="X77" i="1"/>
  <c r="W77" i="1"/>
  <c r="V77" i="1"/>
  <c r="U77" i="1"/>
  <c r="AF76" i="1"/>
  <c r="AE76" i="1"/>
  <c r="AD76" i="1"/>
  <c r="AC76" i="1"/>
  <c r="AB76" i="1"/>
  <c r="AA76" i="1"/>
  <c r="Z76" i="1"/>
  <c r="Y76" i="1"/>
  <c r="X76" i="1"/>
  <c r="W76" i="1"/>
  <c r="V76" i="1"/>
  <c r="U76" i="1"/>
  <c r="AF184" i="1"/>
  <c r="AE184" i="1"/>
  <c r="AD184" i="1"/>
  <c r="AC184" i="1"/>
  <c r="AB184" i="1"/>
  <c r="AA184" i="1"/>
  <c r="Z184" i="1"/>
  <c r="Y184" i="1"/>
  <c r="X184" i="1"/>
  <c r="W184" i="1"/>
  <c r="V184" i="1"/>
  <c r="U184" i="1"/>
  <c r="AF190" i="1"/>
  <c r="AE190" i="1"/>
  <c r="AD190" i="1"/>
  <c r="W190" i="1"/>
  <c r="V190" i="1"/>
  <c r="U190" i="1"/>
  <c r="B27" i="6"/>
  <c r="B28" i="6"/>
  <c r="B30" i="6"/>
  <c r="AH77" i="1" l="1"/>
  <c r="S77" i="1"/>
  <c r="S184" i="1"/>
  <c r="T73" i="5"/>
  <c r="T177" i="5"/>
  <c r="T34" i="5"/>
  <c r="T14" i="5"/>
  <c r="S76" i="1"/>
  <c r="S190" i="1"/>
  <c r="AI73" i="5" l="1"/>
  <c r="AI177" i="5"/>
  <c r="AH184" i="1"/>
  <c r="AG184" i="1"/>
  <c r="AI34" i="5"/>
  <c r="AI14" i="5"/>
  <c r="AH34" i="5"/>
  <c r="AH177" i="5"/>
  <c r="AI30" i="6"/>
  <c r="AJ28" i="6"/>
  <c r="AI28" i="6"/>
  <c r="AJ30" i="6"/>
  <c r="AJ27" i="6"/>
  <c r="AI27" i="6"/>
  <c r="AH76" i="1"/>
  <c r="AG77" i="1"/>
  <c r="AM77" i="1" s="1"/>
  <c r="AH14" i="5"/>
  <c r="AH73" i="5"/>
  <c r="AG76" i="1"/>
  <c r="U27" i="6"/>
  <c r="U28" i="6"/>
  <c r="U30" i="6"/>
  <c r="AM76" i="1" l="1"/>
  <c r="AR30" i="6"/>
  <c r="AN30" i="6"/>
  <c r="AT30" i="6"/>
  <c r="AP30" i="6"/>
  <c r="AN28" i="6"/>
  <c r="AP28" i="6"/>
  <c r="AT28" i="6"/>
  <c r="AR28" i="6"/>
  <c r="AT27" i="6"/>
  <c r="AP27" i="6"/>
  <c r="AN27" i="6"/>
  <c r="AR27" i="6"/>
  <c r="AO73" i="5"/>
  <c r="AS73" i="5"/>
  <c r="AQ73" i="5"/>
  <c r="AM73" i="5"/>
  <c r="AO14" i="5"/>
  <c r="AM14" i="5"/>
  <c r="AQ14" i="5"/>
  <c r="AS14" i="5"/>
  <c r="B127" i="7"/>
  <c r="A127" i="7"/>
  <c r="B173" i="7"/>
  <c r="A173" i="7"/>
  <c r="B72" i="7"/>
  <c r="B73" i="7"/>
  <c r="B60" i="7"/>
  <c r="B56" i="7"/>
  <c r="B190" i="7"/>
  <c r="B22" i="7"/>
  <c r="B157" i="7"/>
  <c r="A157" i="7"/>
  <c r="B85" i="7"/>
  <c r="B147" i="7"/>
  <c r="A147" i="7"/>
  <c r="B254" i="9"/>
  <c r="B233" i="9"/>
  <c r="B222" i="9"/>
  <c r="B412" i="9"/>
  <c r="B250" i="9"/>
  <c r="B149" i="9"/>
  <c r="B64" i="9"/>
  <c r="B334" i="9"/>
  <c r="A334" i="9"/>
  <c r="B169" i="9"/>
  <c r="AI173" i="7" l="1"/>
  <c r="AJ173" i="7"/>
  <c r="AJ222" i="9"/>
  <c r="AI222" i="9"/>
  <c r="AJ233" i="9"/>
  <c r="AI233" i="9"/>
  <c r="AI64" i="9"/>
  <c r="AJ64" i="9"/>
  <c r="U169" i="9"/>
  <c r="U64" i="9"/>
  <c r="U412" i="9"/>
  <c r="U222" i="9"/>
  <c r="U254" i="9"/>
  <c r="U334" i="9"/>
  <c r="U250" i="9"/>
  <c r="U149" i="9"/>
  <c r="U233" i="9"/>
  <c r="AI22" i="7"/>
  <c r="AJ22" i="7"/>
  <c r="U72" i="7"/>
  <c r="U73" i="7"/>
  <c r="U60" i="7"/>
  <c r="U56" i="7"/>
  <c r="U22" i="7"/>
  <c r="U127" i="7"/>
  <c r="U173" i="7"/>
  <c r="U190" i="7"/>
  <c r="U157" i="7"/>
  <c r="U85" i="7"/>
  <c r="U147" i="7"/>
  <c r="AI157" i="7" l="1"/>
  <c r="AJ147" i="7"/>
  <c r="AJ157" i="7"/>
  <c r="AJ190" i="7"/>
  <c r="AI190" i="7"/>
  <c r="AJ127" i="7"/>
  <c r="AI147" i="7"/>
  <c r="AI127" i="7"/>
  <c r="AJ149" i="9"/>
  <c r="AJ334" i="9"/>
  <c r="AJ412" i="9"/>
  <c r="AI149" i="9"/>
  <c r="AS149" i="9" s="1"/>
  <c r="AI412" i="9"/>
  <c r="AI334" i="9"/>
  <c r="AJ169" i="9"/>
  <c r="AI169" i="9"/>
  <c r="AU169" i="9" s="1"/>
  <c r="AQ22" i="7"/>
  <c r="B57" i="16"/>
  <c r="B50" i="16"/>
  <c r="B36" i="16"/>
  <c r="AO169" i="9" l="1"/>
  <c r="AQ169" i="9"/>
  <c r="AS169" i="9"/>
  <c r="AM22" i="7"/>
  <c r="AO22" i="7"/>
  <c r="AU149" i="9"/>
  <c r="AO149" i="9"/>
  <c r="AQ149" i="9"/>
  <c r="AJ57" i="16" l="1"/>
  <c r="AI57" i="16"/>
  <c r="U50" i="16"/>
  <c r="U57" i="16"/>
  <c r="U36" i="16"/>
  <c r="AI36" i="16" l="1"/>
  <c r="AI50" i="16"/>
  <c r="AJ50" i="16"/>
  <c r="AT57" i="16"/>
  <c r="AR57" i="16"/>
  <c r="AN57" i="16"/>
  <c r="AP57" i="16"/>
  <c r="B218" i="16"/>
  <c r="A218" i="16"/>
  <c r="B178" i="16"/>
  <c r="A178" i="16"/>
  <c r="B169" i="16"/>
  <c r="A172" i="16"/>
  <c r="B172" i="16"/>
  <c r="A173" i="16"/>
  <c r="B173" i="16"/>
  <c r="A27" i="18"/>
  <c r="B27" i="18"/>
  <c r="AF134" i="1" l="1"/>
  <c r="AE134" i="1"/>
  <c r="AD134" i="1"/>
  <c r="AC134" i="1"/>
  <c r="AB134" i="1"/>
  <c r="AA134" i="1"/>
  <c r="Z134" i="1"/>
  <c r="Y134" i="1"/>
  <c r="X134" i="1"/>
  <c r="W134" i="1"/>
  <c r="V134" i="1"/>
  <c r="U134" i="1"/>
  <c r="AF187" i="1"/>
  <c r="AE187" i="1"/>
  <c r="AD187" i="1"/>
  <c r="AC187" i="1"/>
  <c r="AB187" i="1"/>
  <c r="AA187" i="1"/>
  <c r="Z187" i="1"/>
  <c r="Y187" i="1"/>
  <c r="X187" i="1"/>
  <c r="W187" i="1"/>
  <c r="V187" i="1"/>
  <c r="U187" i="1"/>
  <c r="U9" i="1"/>
  <c r="AI169" i="16" l="1"/>
  <c r="AJ169" i="16"/>
  <c r="AJ218" i="16"/>
  <c r="AI218" i="16"/>
  <c r="AI28" i="5"/>
  <c r="AH134" i="1"/>
  <c r="S134" i="1"/>
  <c r="AH28" i="5"/>
  <c r="S187" i="1"/>
  <c r="AH187" i="1"/>
  <c r="T27" i="18"/>
  <c r="U173" i="16"/>
  <c r="U178" i="16"/>
  <c r="U172" i="16"/>
  <c r="U169" i="16"/>
  <c r="U218" i="16"/>
  <c r="T28" i="5"/>
  <c r="AG187" i="1" l="1"/>
  <c r="AG134" i="1"/>
  <c r="AM134" i="1" s="1"/>
  <c r="AI173" i="16" l="1"/>
  <c r="AJ172" i="16"/>
  <c r="AJ73" i="7"/>
  <c r="AJ173" i="16"/>
  <c r="AJ72" i="7"/>
  <c r="AJ178" i="16"/>
  <c r="AI178" i="16"/>
  <c r="AI172" i="16"/>
  <c r="AJ36" i="16"/>
  <c r="AJ250" i="9"/>
  <c r="AI250" i="9"/>
  <c r="AJ254" i="9"/>
  <c r="AI254" i="9"/>
  <c r="AJ85" i="7"/>
  <c r="AI85" i="7"/>
  <c r="AJ60" i="7"/>
  <c r="AI60" i="7"/>
  <c r="AI56" i="7"/>
  <c r="AJ56" i="7"/>
  <c r="AI72" i="7"/>
  <c r="AI73" i="7"/>
  <c r="B151" i="7"/>
  <c r="A151" i="7"/>
  <c r="AM147" i="7" l="1"/>
  <c r="AQ147" i="7"/>
  <c r="AO147" i="7"/>
  <c r="AO73" i="7"/>
  <c r="AQ73" i="7"/>
  <c r="AM73" i="7"/>
  <c r="AQ72" i="7"/>
  <c r="AO72" i="7"/>
  <c r="AM72" i="7"/>
  <c r="AM127" i="7"/>
  <c r="AQ127" i="7"/>
  <c r="AO127" i="7"/>
  <c r="AQ85" i="7"/>
  <c r="AO85" i="7"/>
  <c r="AM85" i="7"/>
  <c r="AT50" i="16"/>
  <c r="AP50" i="16"/>
  <c r="AR50" i="16"/>
  <c r="AN50" i="16"/>
  <c r="B93" i="9"/>
  <c r="B185" i="9"/>
  <c r="B52" i="16"/>
  <c r="B201" i="16"/>
  <c r="AJ151" i="7" l="1"/>
  <c r="Q28" i="33"/>
  <c r="AI151" i="7"/>
  <c r="U151" i="7"/>
  <c r="U52" i="16" l="1"/>
  <c r="AJ185" i="9"/>
  <c r="AI185" i="9"/>
  <c r="AJ93" i="9"/>
  <c r="AI93" i="9"/>
  <c r="U93" i="9"/>
  <c r="U185" i="9"/>
  <c r="AM151" i="7" l="1"/>
  <c r="AQ151" i="7"/>
  <c r="AO151" i="7"/>
  <c r="A70" i="5"/>
  <c r="AF192" i="1"/>
  <c r="AE192" i="1"/>
  <c r="AD192" i="1"/>
  <c r="W192" i="1"/>
  <c r="V192" i="1"/>
  <c r="U192" i="1"/>
  <c r="A205" i="5"/>
  <c r="A197" i="5"/>
  <c r="A198" i="5"/>
  <c r="A199" i="5"/>
  <c r="A200" i="5"/>
  <c r="AI198" i="5" l="1"/>
  <c r="AH198" i="5"/>
  <c r="AH205" i="5"/>
  <c r="AI205" i="5"/>
  <c r="AI197" i="5"/>
  <c r="AH197" i="5"/>
  <c r="AS185" i="9"/>
  <c r="AQ185" i="9"/>
  <c r="AO185" i="9"/>
  <c r="AU185" i="9"/>
  <c r="S192" i="1"/>
  <c r="T205" i="5"/>
  <c r="T197" i="5"/>
  <c r="T198" i="5"/>
  <c r="AF231" i="1" l="1"/>
  <c r="AE231" i="1"/>
  <c r="AD231" i="1"/>
  <c r="AC231" i="1"/>
  <c r="AB231" i="1"/>
  <c r="AA231" i="1"/>
  <c r="Z231" i="1"/>
  <c r="Y231" i="1"/>
  <c r="X231" i="1"/>
  <c r="W231" i="1"/>
  <c r="V231" i="1"/>
  <c r="U231" i="1"/>
  <c r="AF228" i="1"/>
  <c r="AE228" i="1"/>
  <c r="AD228" i="1"/>
  <c r="AC228" i="1"/>
  <c r="AB228" i="1"/>
  <c r="AA228" i="1"/>
  <c r="Z228" i="1"/>
  <c r="Y228" i="1"/>
  <c r="X228" i="1"/>
  <c r="W228" i="1"/>
  <c r="V228" i="1"/>
  <c r="U228" i="1"/>
  <c r="AF227" i="1"/>
  <c r="AE227" i="1"/>
  <c r="AD227" i="1"/>
  <c r="AC227" i="1"/>
  <c r="AB227" i="1"/>
  <c r="AA227" i="1"/>
  <c r="Z227" i="1"/>
  <c r="Y227" i="1"/>
  <c r="X227" i="1"/>
  <c r="W227" i="1"/>
  <c r="V227" i="1"/>
  <c r="U227" i="1"/>
  <c r="AF225" i="1"/>
  <c r="AE225" i="1"/>
  <c r="AD225" i="1"/>
  <c r="AC225" i="1"/>
  <c r="AB225" i="1"/>
  <c r="AA225" i="1"/>
  <c r="Z225" i="1"/>
  <c r="Y225" i="1"/>
  <c r="X225" i="1"/>
  <c r="W225" i="1"/>
  <c r="V225" i="1"/>
  <c r="U225" i="1"/>
  <c r="U213" i="1"/>
  <c r="AF52" i="1"/>
  <c r="AE52" i="1"/>
  <c r="AD52" i="1"/>
  <c r="AC52" i="1"/>
  <c r="AB52" i="1"/>
  <c r="AA52" i="1"/>
  <c r="Z52" i="1"/>
  <c r="Y52" i="1"/>
  <c r="X52" i="1"/>
  <c r="W52" i="1"/>
  <c r="V52" i="1"/>
  <c r="U52" i="1"/>
  <c r="AF50" i="1"/>
  <c r="AE50" i="1"/>
  <c r="AD50" i="1"/>
  <c r="AC50" i="1"/>
  <c r="AB50" i="1"/>
  <c r="AA50" i="1"/>
  <c r="Z50" i="1"/>
  <c r="Y50" i="1"/>
  <c r="X50" i="1"/>
  <c r="W50" i="1"/>
  <c r="V50" i="1"/>
  <c r="U50" i="1"/>
  <c r="AF46" i="1"/>
  <c r="AE46" i="1"/>
  <c r="AD46" i="1"/>
  <c r="AC46" i="1"/>
  <c r="AB46" i="1"/>
  <c r="AA46" i="1"/>
  <c r="Z46" i="1"/>
  <c r="Y46" i="1"/>
  <c r="X46" i="1"/>
  <c r="W46" i="1"/>
  <c r="V46" i="1"/>
  <c r="U46" i="1"/>
  <c r="AF58" i="1"/>
  <c r="AE58" i="1"/>
  <c r="AD58" i="1"/>
  <c r="AC58" i="1"/>
  <c r="AB58" i="1"/>
  <c r="AA58" i="1"/>
  <c r="Z58" i="1"/>
  <c r="Y58" i="1"/>
  <c r="X58" i="1"/>
  <c r="W58" i="1"/>
  <c r="V58" i="1"/>
  <c r="U58" i="1"/>
  <c r="AF63" i="1"/>
  <c r="AE63" i="1"/>
  <c r="AD63" i="1"/>
  <c r="AC63" i="1"/>
  <c r="AB63" i="1"/>
  <c r="AA63" i="1"/>
  <c r="Z63" i="1"/>
  <c r="Y63" i="1"/>
  <c r="X63" i="1"/>
  <c r="W63" i="1"/>
  <c r="V63" i="1"/>
  <c r="U63" i="1"/>
  <c r="AF56" i="1"/>
  <c r="AE56" i="1"/>
  <c r="AD56" i="1"/>
  <c r="AC56" i="1"/>
  <c r="AB56" i="1"/>
  <c r="AA56" i="1"/>
  <c r="Z56" i="1"/>
  <c r="Y56" i="1"/>
  <c r="X56" i="1"/>
  <c r="W56" i="1"/>
  <c r="V56" i="1"/>
  <c r="U56" i="1"/>
  <c r="AF44" i="1"/>
  <c r="AE44" i="1"/>
  <c r="AD44" i="1"/>
  <c r="AC44" i="1"/>
  <c r="AB44" i="1"/>
  <c r="AA44" i="1"/>
  <c r="Z44" i="1"/>
  <c r="Y44" i="1"/>
  <c r="X44" i="1"/>
  <c r="W44" i="1"/>
  <c r="V44" i="1"/>
  <c r="U44" i="1"/>
  <c r="AF53" i="1"/>
  <c r="AE53" i="1"/>
  <c r="AD53" i="1"/>
  <c r="AC53" i="1"/>
  <c r="AB53" i="1"/>
  <c r="AA53" i="1"/>
  <c r="Z53" i="1"/>
  <c r="Y53" i="1"/>
  <c r="X53" i="1"/>
  <c r="W53" i="1"/>
  <c r="V53" i="1"/>
  <c r="U53" i="1"/>
  <c r="AF54" i="1"/>
  <c r="AE54" i="1"/>
  <c r="AD54" i="1"/>
  <c r="AC54" i="1"/>
  <c r="AB54" i="1"/>
  <c r="AA54" i="1"/>
  <c r="Z54" i="1"/>
  <c r="Y54" i="1"/>
  <c r="X54" i="1"/>
  <c r="W54" i="1"/>
  <c r="V54" i="1"/>
  <c r="U54" i="1"/>
  <c r="A132" i="5"/>
  <c r="A106" i="5"/>
  <c r="A149" i="5"/>
  <c r="A123" i="5"/>
  <c r="A111" i="5"/>
  <c r="A93" i="5"/>
  <c r="AF114" i="1"/>
  <c r="AE114" i="1"/>
  <c r="AD114" i="1"/>
  <c r="AC114" i="1"/>
  <c r="AB114" i="1"/>
  <c r="AA114" i="1"/>
  <c r="Z114" i="1"/>
  <c r="Y114" i="1"/>
  <c r="X114" i="1"/>
  <c r="W114" i="1"/>
  <c r="V114" i="1"/>
  <c r="U114" i="1"/>
  <c r="AF186" i="1"/>
  <c r="AE186" i="1"/>
  <c r="AD186" i="1"/>
  <c r="AC186" i="1"/>
  <c r="AB186" i="1"/>
  <c r="AA186" i="1"/>
  <c r="Z186" i="1"/>
  <c r="Y186" i="1"/>
  <c r="X186" i="1"/>
  <c r="W186" i="1"/>
  <c r="V186" i="1"/>
  <c r="U186" i="1"/>
  <c r="AF118" i="1"/>
  <c r="AE118" i="1"/>
  <c r="AD118" i="1"/>
  <c r="AC118" i="1"/>
  <c r="AB118" i="1"/>
  <c r="AA118" i="1"/>
  <c r="Z118" i="1"/>
  <c r="Y118" i="1"/>
  <c r="X118" i="1"/>
  <c r="W118" i="1"/>
  <c r="V118" i="1"/>
  <c r="U118" i="1"/>
  <c r="AG53" i="1" l="1"/>
  <c r="AG58" i="1"/>
  <c r="AG44" i="1"/>
  <c r="AG52" i="1"/>
  <c r="AG54" i="1"/>
  <c r="AG63" i="1"/>
  <c r="AG46" i="1"/>
  <c r="AG56" i="1"/>
  <c r="AG50" i="1"/>
  <c r="AH149" i="5"/>
  <c r="S225" i="1"/>
  <c r="S228" i="1"/>
  <c r="AG228" i="1"/>
  <c r="AH118" i="1"/>
  <c r="S118" i="1"/>
  <c r="S186" i="1"/>
  <c r="AI149" i="5"/>
  <c r="AH27" i="5"/>
  <c r="AI132" i="5"/>
  <c r="S54" i="1"/>
  <c r="AH54" i="1"/>
  <c r="AI131" i="5"/>
  <c r="S44" i="1"/>
  <c r="S56" i="1"/>
  <c r="AH56" i="1"/>
  <c r="AI31" i="5"/>
  <c r="S63" i="1"/>
  <c r="AH63" i="1"/>
  <c r="S46" i="1"/>
  <c r="AH46" i="1"/>
  <c r="AH30" i="5"/>
  <c r="AI30" i="5"/>
  <c r="S52" i="1"/>
  <c r="AH52" i="1"/>
  <c r="AI27" i="5"/>
  <c r="S227" i="1"/>
  <c r="AH231" i="1"/>
  <c r="S231" i="1"/>
  <c r="AI173" i="5"/>
  <c r="AH173" i="5"/>
  <c r="AG114" i="1"/>
  <c r="AM114" i="1" s="1"/>
  <c r="S114" i="1"/>
  <c r="AH31" i="5"/>
  <c r="S53" i="1"/>
  <c r="AH53" i="1"/>
  <c r="AH29" i="5"/>
  <c r="AI29" i="5"/>
  <c r="S58" i="1"/>
  <c r="AH58" i="1"/>
  <c r="S50" i="1"/>
  <c r="AI25" i="5"/>
  <c r="AH132" i="5"/>
  <c r="AH25" i="5"/>
  <c r="AH131" i="5"/>
  <c r="T149" i="5"/>
  <c r="T93" i="5"/>
  <c r="T132" i="5"/>
  <c r="T131" i="5"/>
  <c r="T30" i="5"/>
  <c r="T20" i="5"/>
  <c r="T27" i="5"/>
  <c r="T123" i="5"/>
  <c r="T173" i="5"/>
  <c r="T106" i="5"/>
  <c r="T111" i="5"/>
  <c r="T50" i="5"/>
  <c r="T49" i="5"/>
  <c r="T29" i="5"/>
  <c r="T31" i="5"/>
  <c r="T25" i="5"/>
  <c r="T21" i="5"/>
  <c r="T26" i="5"/>
  <c r="AH50" i="1" l="1"/>
  <c r="AG231" i="1"/>
  <c r="AH114" i="1"/>
  <c r="AI123" i="5"/>
  <c r="AI26" i="5"/>
  <c r="AI50" i="5"/>
  <c r="AH228" i="1"/>
  <c r="AI21" i="5"/>
  <c r="AH44" i="1"/>
  <c r="AH227" i="1"/>
  <c r="AG227" i="1"/>
  <c r="AI106" i="5"/>
  <c r="AI93" i="5"/>
  <c r="AI111" i="5"/>
  <c r="AI49" i="5"/>
  <c r="AI20" i="5"/>
  <c r="AH186" i="1"/>
  <c r="AG186" i="1"/>
  <c r="AH225" i="1"/>
  <c r="AG225" i="1"/>
  <c r="AH26" i="5"/>
  <c r="AS26" i="5" s="1"/>
  <c r="AH21" i="5"/>
  <c r="AH20" i="5"/>
  <c r="AH49" i="5"/>
  <c r="AM49" i="5" s="1"/>
  <c r="AQ49" i="5" s="1"/>
  <c r="AH50" i="5"/>
  <c r="AM50" i="5" s="1"/>
  <c r="AQ50" i="5" s="1"/>
  <c r="AH106" i="5"/>
  <c r="AH123" i="5"/>
  <c r="AH111" i="5"/>
  <c r="AH93" i="5"/>
  <c r="AG118" i="1"/>
  <c r="AO231" i="1" l="1"/>
  <c r="AO106" i="5"/>
  <c r="AM106" i="5"/>
  <c r="AQ106" i="5"/>
  <c r="AS106" i="5"/>
  <c r="AQ93" i="5"/>
  <c r="AS93" i="5"/>
  <c r="AM93" i="5"/>
  <c r="AO93" i="5"/>
  <c r="AS111" i="5"/>
  <c r="AO111" i="5"/>
  <c r="AM111" i="5"/>
  <c r="AQ111" i="5"/>
  <c r="AO123" i="5"/>
  <c r="AM123" i="5"/>
  <c r="AQ123" i="5"/>
  <c r="AS123" i="5"/>
  <c r="AQ21" i="5"/>
  <c r="AO21" i="5"/>
  <c r="AS21" i="5"/>
  <c r="AM21" i="5"/>
  <c r="AQ26" i="5"/>
  <c r="AM26" i="5"/>
  <c r="AO26" i="5"/>
  <c r="AM20" i="5"/>
  <c r="AQ20" i="5"/>
  <c r="AO20" i="5"/>
  <c r="AS20" i="5"/>
  <c r="B152" i="7" l="1"/>
  <c r="A152" i="7"/>
  <c r="B148" i="7"/>
  <c r="A148" i="7"/>
  <c r="B134" i="7"/>
  <c r="A134" i="7"/>
  <c r="B137" i="7"/>
  <c r="A137" i="7"/>
  <c r="B133" i="7"/>
  <c r="A133" i="7"/>
  <c r="B143" i="7"/>
  <c r="A143" i="7"/>
  <c r="B128" i="7"/>
  <c r="A128" i="7"/>
  <c r="A164" i="7"/>
  <c r="B164" i="7"/>
  <c r="B88" i="7"/>
  <c r="B100" i="7"/>
  <c r="B99" i="7"/>
  <c r="B98" i="7"/>
  <c r="B97" i="7"/>
  <c r="B96" i="7"/>
  <c r="B95" i="7"/>
  <c r="B74" i="7"/>
  <c r="B71" i="7"/>
  <c r="B70" i="7"/>
  <c r="B69" i="7"/>
  <c r="B68" i="7"/>
  <c r="B24" i="7"/>
  <c r="B20" i="7"/>
  <c r="B19" i="7"/>
  <c r="B18" i="7"/>
  <c r="B17" i="7"/>
  <c r="B16" i="7"/>
  <c r="B15" i="7"/>
  <c r="B13" i="7"/>
  <c r="B11" i="7"/>
  <c r="B59" i="7"/>
  <c r="B58" i="7"/>
  <c r="B57" i="7"/>
  <c r="B201" i="7"/>
  <c r="B218" i="7"/>
  <c r="B200" i="7"/>
  <c r="B198" i="7"/>
  <c r="B197" i="7"/>
  <c r="B196" i="7"/>
  <c r="B61" i="7"/>
  <c r="B55" i="7"/>
  <c r="B175" i="7"/>
  <c r="B48" i="7"/>
  <c r="B176" i="7"/>
  <c r="B177" i="7"/>
  <c r="B122" i="6"/>
  <c r="B17" i="6"/>
  <c r="B16" i="6"/>
  <c r="B15" i="6"/>
  <c r="B14" i="6"/>
  <c r="B13" i="6"/>
  <c r="B12" i="6"/>
  <c r="B84" i="6"/>
  <c r="A84" i="6"/>
  <c r="B86" i="6"/>
  <c r="A86" i="6"/>
  <c r="B66" i="6"/>
  <c r="A66" i="6"/>
  <c r="B31" i="6"/>
  <c r="B26" i="6"/>
  <c r="B52" i="6"/>
  <c r="B110" i="6"/>
  <c r="B111" i="6"/>
  <c r="W26" i="6" l="1"/>
  <c r="X11" i="7" l="1"/>
  <c r="W11" i="7"/>
  <c r="Q34" i="6"/>
  <c r="AE34" i="6"/>
  <c r="J34" i="6"/>
  <c r="X26" i="6"/>
  <c r="X34" i="6" s="1"/>
  <c r="K34" i="6"/>
  <c r="Y26" i="6"/>
  <c r="Y34" i="6" s="1"/>
  <c r="P34" i="6"/>
  <c r="AD34" i="6"/>
  <c r="Y11" i="7"/>
  <c r="AJ134" i="7"/>
  <c r="AJ137" i="7"/>
  <c r="AJ152" i="7"/>
  <c r="AJ61" i="7"/>
  <c r="AI128" i="7"/>
  <c r="AJ133" i="7"/>
  <c r="AI133" i="7"/>
  <c r="AI137" i="7"/>
  <c r="AJ164" i="7"/>
  <c r="AI164" i="7"/>
  <c r="AJ128" i="7"/>
  <c r="AJ201" i="7"/>
  <c r="AI134" i="7"/>
  <c r="AJ148" i="7"/>
  <c r="AI148" i="7"/>
  <c r="AJ143" i="7"/>
  <c r="AI143" i="7"/>
  <c r="AI152" i="7"/>
  <c r="AI201" i="7"/>
  <c r="AJ95" i="7"/>
  <c r="AI61" i="7"/>
  <c r="AI19" i="7"/>
  <c r="AJ19" i="7"/>
  <c r="AI13" i="7"/>
  <c r="AJ13" i="7"/>
  <c r="AJ58" i="7"/>
  <c r="AI58" i="7"/>
  <c r="AM58" i="7" s="1"/>
  <c r="AI17" i="7"/>
  <c r="AJ18" i="7"/>
  <c r="AJ55" i="7"/>
  <c r="AI15" i="7"/>
  <c r="AJ17" i="7"/>
  <c r="AI24" i="7"/>
  <c r="AJ24" i="7"/>
  <c r="AI16" i="7"/>
  <c r="U74" i="7"/>
  <c r="U68" i="7"/>
  <c r="U69" i="7"/>
  <c r="U55" i="7"/>
  <c r="U71" i="7"/>
  <c r="U70" i="7"/>
  <c r="U59" i="7"/>
  <c r="U58" i="7"/>
  <c r="U61" i="7"/>
  <c r="U57" i="7"/>
  <c r="U11" i="7"/>
  <c r="U17" i="7"/>
  <c r="U19" i="7"/>
  <c r="U13" i="7"/>
  <c r="U20" i="7"/>
  <c r="U16" i="7"/>
  <c r="U15" i="7"/>
  <c r="U24" i="7"/>
  <c r="U18" i="7"/>
  <c r="M34" i="6"/>
  <c r="AB34" i="6"/>
  <c r="AJ84" i="6"/>
  <c r="AI84" i="6"/>
  <c r="AJ66" i="6"/>
  <c r="AI66" i="6"/>
  <c r="O34" i="6"/>
  <c r="L34" i="6"/>
  <c r="I34" i="6"/>
  <c r="AG34" i="6"/>
  <c r="S34" i="6"/>
  <c r="AF34" i="6"/>
  <c r="R34" i="6"/>
  <c r="AI31" i="6"/>
  <c r="AJ31" i="6"/>
  <c r="AH34" i="6"/>
  <c r="T34" i="6"/>
  <c r="N34" i="6"/>
  <c r="U31" i="6"/>
  <c r="AA34" i="6"/>
  <c r="AC34" i="6"/>
  <c r="Z34" i="6"/>
  <c r="U26" i="6"/>
  <c r="U152" i="7"/>
  <c r="U164" i="7"/>
  <c r="U148" i="7"/>
  <c r="U134" i="7"/>
  <c r="U137" i="7"/>
  <c r="U133" i="7"/>
  <c r="U143" i="7"/>
  <c r="U128" i="7"/>
  <c r="U88" i="7"/>
  <c r="U96" i="7"/>
  <c r="U97" i="7"/>
  <c r="U95" i="7"/>
  <c r="U99" i="7"/>
  <c r="U98" i="7"/>
  <c r="U100" i="7"/>
  <c r="U201" i="7"/>
  <c r="U17" i="6"/>
  <c r="U13" i="6"/>
  <c r="U12" i="6"/>
  <c r="U16" i="6"/>
  <c r="U15" i="6"/>
  <c r="U14" i="6"/>
  <c r="U84" i="6"/>
  <c r="U86" i="6"/>
  <c r="U66" i="6"/>
  <c r="U52" i="6"/>
  <c r="AJ15" i="7" l="1"/>
  <c r="AJ59" i="7"/>
  <c r="AI18" i="7"/>
  <c r="AJ74" i="7"/>
  <c r="AI97" i="7"/>
  <c r="AI55" i="7"/>
  <c r="AJ69" i="7"/>
  <c r="AI96" i="7"/>
  <c r="AJ98" i="7"/>
  <c r="AI98" i="7"/>
  <c r="AJ68" i="7"/>
  <c r="AJ20" i="7"/>
  <c r="AJ100" i="7"/>
  <c r="AJ88" i="7"/>
  <c r="AI88" i="7"/>
  <c r="AO88" i="7" s="1"/>
  <c r="AI100" i="7"/>
  <c r="AJ70" i="7"/>
  <c r="AJ71" i="7"/>
  <c r="AI95" i="7"/>
  <c r="AJ99" i="7"/>
  <c r="AI99" i="7"/>
  <c r="AJ96" i="7"/>
  <c r="AJ97" i="7"/>
  <c r="AI59" i="7"/>
  <c r="AM59" i="7" s="1"/>
  <c r="AI57" i="7"/>
  <c r="AM57" i="7" s="1"/>
  <c r="AJ57" i="7"/>
  <c r="AI20" i="7"/>
  <c r="AJ16" i="7"/>
  <c r="AJ86" i="6"/>
  <c r="AI86" i="6"/>
  <c r="AJ52" i="6"/>
  <c r="AI52" i="6"/>
  <c r="AJ26" i="6"/>
  <c r="AJ34" i="6" s="1"/>
  <c r="W34" i="6"/>
  <c r="AJ11" i="7"/>
  <c r="AR31" i="6"/>
  <c r="AP31" i="6"/>
  <c r="AT31" i="6"/>
  <c r="AN31" i="6"/>
  <c r="AI74" i="7"/>
  <c r="AI71" i="7"/>
  <c r="AI69" i="7"/>
  <c r="AI68" i="7"/>
  <c r="AI26" i="6"/>
  <c r="AI34" i="6" s="1"/>
  <c r="AI70" i="7"/>
  <c r="AI11" i="7"/>
  <c r="B320" i="9"/>
  <c r="A320" i="9"/>
  <c r="B323" i="9"/>
  <c r="A323" i="9"/>
  <c r="AQ70" i="7" l="1"/>
  <c r="AO70" i="7"/>
  <c r="AM70" i="7"/>
  <c r="AM134" i="7"/>
  <c r="AQ134" i="7"/>
  <c r="AO134" i="7"/>
  <c r="AQ98" i="7"/>
  <c r="AO98" i="7"/>
  <c r="AM98" i="7"/>
  <c r="AT26" i="6"/>
  <c r="AT34" i="6" s="1"/>
  <c r="AP26" i="6"/>
  <c r="AP34" i="6" s="1"/>
  <c r="AR26" i="6"/>
  <c r="AR34" i="6" s="1"/>
  <c r="AN26" i="6"/>
  <c r="AN34" i="6" s="1"/>
  <c r="AM143" i="7"/>
  <c r="AQ143" i="7"/>
  <c r="AO143" i="7"/>
  <c r="AM13" i="7"/>
  <c r="AO13" i="7"/>
  <c r="AQ13" i="7"/>
  <c r="AM71" i="7"/>
  <c r="AQ71" i="7"/>
  <c r="AO71" i="7"/>
  <c r="AM137" i="7"/>
  <c r="AO137" i="7"/>
  <c r="AQ137" i="7"/>
  <c r="AQ74" i="7"/>
  <c r="AO74" i="7"/>
  <c r="AM74" i="7"/>
  <c r="AO99" i="7"/>
  <c r="AM99" i="7"/>
  <c r="AQ99" i="7"/>
  <c r="AO24" i="7"/>
  <c r="AM24" i="7"/>
  <c r="AQ24" i="7"/>
  <c r="AM148" i="7"/>
  <c r="AO148" i="7"/>
  <c r="AQ148" i="7"/>
  <c r="AM16" i="7"/>
  <c r="AO16" i="7"/>
  <c r="AQ16" i="7"/>
  <c r="AM20" i="7"/>
  <c r="AO20" i="7"/>
  <c r="AQ20" i="7"/>
  <c r="AM128" i="7"/>
  <c r="AQ128" i="7"/>
  <c r="AO128" i="7"/>
  <c r="AO19" i="7"/>
  <c r="AM19" i="7"/>
  <c r="AQ19" i="7"/>
  <c r="AM152" i="7"/>
  <c r="AQ152" i="7"/>
  <c r="AO152" i="7"/>
  <c r="AO97" i="7"/>
  <c r="AM97" i="7"/>
  <c r="AQ97" i="7"/>
  <c r="AQ55" i="7"/>
  <c r="AO55" i="7"/>
  <c r="AM55" i="7"/>
  <c r="AT84" i="6"/>
  <c r="AP84" i="6"/>
  <c r="AN84" i="6"/>
  <c r="AR84" i="6"/>
  <c r="AM11" i="7"/>
  <c r="AO11" i="7"/>
  <c r="AQ11" i="7"/>
  <c r="AO100" i="7"/>
  <c r="AM100" i="7"/>
  <c r="AQ100" i="7"/>
  <c r="AQ68" i="7"/>
  <c r="AO68" i="7"/>
  <c r="AM68" i="7"/>
  <c r="AQ17" i="7"/>
  <c r="AM17" i="7"/>
  <c r="AO17" i="7"/>
  <c r="AO96" i="7"/>
  <c r="AM96" i="7"/>
  <c r="AQ96" i="7"/>
  <c r="AO69" i="7"/>
  <c r="AQ69" i="7"/>
  <c r="AM69" i="7"/>
  <c r="AM18" i="7"/>
  <c r="AO18" i="7"/>
  <c r="AQ18" i="7"/>
  <c r="AO95" i="7"/>
  <c r="AM95" i="7"/>
  <c r="AQ95" i="7"/>
  <c r="AM15" i="7"/>
  <c r="AO15" i="7"/>
  <c r="AQ15" i="7"/>
  <c r="AM133" i="7"/>
  <c r="AO133" i="7"/>
  <c r="AQ133" i="7"/>
  <c r="A306" i="9"/>
  <c r="B306" i="9"/>
  <c r="B373" i="9"/>
  <c r="B92" i="9"/>
  <c r="B86" i="9"/>
  <c r="B394" i="9"/>
  <c r="B399" i="9"/>
  <c r="B161" i="9"/>
  <c r="B398" i="9"/>
  <c r="B430" i="9"/>
  <c r="A430" i="9"/>
  <c r="B106" i="9"/>
  <c r="B15" i="9"/>
  <c r="B88" i="9"/>
  <c r="B425" i="9"/>
  <c r="A425" i="9"/>
  <c r="B369" i="9"/>
  <c r="B384" i="9"/>
  <c r="B385" i="9"/>
  <c r="B386" i="9"/>
  <c r="B57" i="9"/>
  <c r="B379" i="9"/>
  <c r="B380" i="9"/>
  <c r="B381" i="9"/>
  <c r="B382" i="9"/>
  <c r="B378" i="9"/>
  <c r="B426" i="9"/>
  <c r="A426" i="9"/>
  <c r="B429" i="9"/>
  <c r="A429" i="9"/>
  <c r="B428" i="9"/>
  <c r="A428" i="9"/>
  <c r="B84" i="9"/>
  <c r="B83" i="9"/>
  <c r="B82" i="9"/>
  <c r="B90" i="9"/>
  <c r="B89" i="9"/>
  <c r="B87" i="9"/>
  <c r="B111" i="9"/>
  <c r="B110" i="9"/>
  <c r="B109" i="9"/>
  <c r="B108" i="9"/>
  <c r="B317" i="9"/>
  <c r="A317" i="9"/>
  <c r="B316" i="9"/>
  <c r="A316" i="9"/>
  <c r="AJ320" i="9" l="1"/>
  <c r="AJ323" i="9"/>
  <c r="AI323" i="9"/>
  <c r="U323" i="9"/>
  <c r="U320" i="9"/>
  <c r="B271" i="9"/>
  <c r="A271" i="9"/>
  <c r="B263" i="9"/>
  <c r="A263" i="9"/>
  <c r="B27" i="9"/>
  <c r="B26" i="9"/>
  <c r="B25" i="9"/>
  <c r="B24" i="9"/>
  <c r="B101" i="9"/>
  <c r="B100" i="9"/>
  <c r="B91" i="9"/>
  <c r="B155" i="9"/>
  <c r="B168" i="9"/>
  <c r="B159" i="9"/>
  <c r="B147" i="9"/>
  <c r="B188" i="9"/>
  <c r="B187" i="9"/>
  <c r="B139" i="9"/>
  <c r="B133" i="9"/>
  <c r="B127" i="9"/>
  <c r="B310" i="9"/>
  <c r="B309" i="9"/>
  <c r="A309" i="9"/>
  <c r="A310" i="9"/>
  <c r="AJ316" i="9" l="1"/>
  <c r="AJ306" i="9"/>
  <c r="AJ317" i="9"/>
  <c r="AI369" i="9"/>
  <c r="AJ384" i="9"/>
  <c r="AJ386" i="9"/>
  <c r="AI386" i="9"/>
  <c r="AI384" i="9"/>
  <c r="AJ385" i="9"/>
  <c r="AI385" i="9"/>
  <c r="AJ399" i="9"/>
  <c r="AJ369" i="9"/>
  <c r="AJ430" i="9"/>
  <c r="AI430" i="9"/>
  <c r="AJ373" i="9"/>
  <c r="AI373" i="9"/>
  <c r="AJ378" i="9"/>
  <c r="AI378" i="9"/>
  <c r="AJ398" i="9"/>
  <c r="AI398" i="9"/>
  <c r="AI399" i="9"/>
  <c r="AI87" i="9"/>
  <c r="AI86" i="9"/>
  <c r="AJ92" i="9"/>
  <c r="AI92" i="9"/>
  <c r="AJ90" i="9"/>
  <c r="AI90" i="9"/>
  <c r="AJ83" i="9"/>
  <c r="AI83" i="9"/>
  <c r="AJ89" i="9"/>
  <c r="AI89" i="9"/>
  <c r="AJ82" i="9"/>
  <c r="AI82" i="9"/>
  <c r="AJ87" i="9"/>
  <c r="AJ86" i="9"/>
  <c r="U88" i="9"/>
  <c r="U425" i="9"/>
  <c r="U426" i="9"/>
  <c r="U428" i="9"/>
  <c r="U430" i="9"/>
  <c r="U429" i="9"/>
  <c r="U109" i="9"/>
  <c r="U378" i="9"/>
  <c r="U83" i="9"/>
  <c r="U306" i="9"/>
  <c r="U380" i="9"/>
  <c r="U92" i="9"/>
  <c r="U57" i="9"/>
  <c r="U89" i="9"/>
  <c r="U381" i="9"/>
  <c r="U86" i="9"/>
  <c r="U111" i="9"/>
  <c r="U84" i="9"/>
  <c r="U161" i="9"/>
  <c r="U82" i="9"/>
  <c r="U87" i="9"/>
  <c r="U379" i="9"/>
  <c r="U385" i="9"/>
  <c r="U106" i="9"/>
  <c r="U398" i="9"/>
  <c r="U399" i="9"/>
  <c r="U316" i="9"/>
  <c r="U369" i="9"/>
  <c r="AJ15" i="9"/>
  <c r="U15" i="9"/>
  <c r="U382" i="9"/>
  <c r="U384" i="9"/>
  <c r="U394" i="9"/>
  <c r="U373" i="9"/>
  <c r="U108" i="9"/>
  <c r="U90" i="9"/>
  <c r="U386" i="9"/>
  <c r="U317" i="9"/>
  <c r="U110" i="9"/>
  <c r="AJ109" i="9"/>
  <c r="V15" i="9"/>
  <c r="AI317" i="9"/>
  <c r="AI57" i="9" l="1"/>
  <c r="AI429" i="9"/>
  <c r="AJ57" i="9"/>
  <c r="AJ429" i="9"/>
  <c r="AJ428" i="9"/>
  <c r="AI428" i="9"/>
  <c r="AU428" i="9" s="1"/>
  <c r="AJ380" i="9"/>
  <c r="AI379" i="9"/>
  <c r="AJ379" i="9"/>
  <c r="AJ382" i="9"/>
  <c r="AI382" i="9"/>
  <c r="AI380" i="9"/>
  <c r="AJ84" i="9"/>
  <c r="AI84" i="9"/>
  <c r="AO84" i="9" s="1"/>
  <c r="AJ381" i="9"/>
  <c r="AI381" i="9"/>
  <c r="AJ394" i="9"/>
  <c r="AJ161" i="9"/>
  <c r="AJ425" i="9"/>
  <c r="AI425" i="9"/>
  <c r="AI316" i="9"/>
  <c r="AU316" i="9" s="1"/>
  <c r="AJ426" i="9"/>
  <c r="AI426" i="9"/>
  <c r="AI161" i="9"/>
  <c r="AJ91" i="9"/>
  <c r="AI91" i="9"/>
  <c r="U101" i="9"/>
  <c r="U24" i="9"/>
  <c r="U133" i="9"/>
  <c r="U188" i="9"/>
  <c r="U155" i="9"/>
  <c r="U271" i="9"/>
  <c r="U263" i="9"/>
  <c r="U187" i="9"/>
  <c r="U309" i="9"/>
  <c r="U127" i="9"/>
  <c r="U310" i="9"/>
  <c r="U168" i="9"/>
  <c r="U139" i="9"/>
  <c r="U91" i="9"/>
  <c r="U159" i="9"/>
  <c r="U147" i="9"/>
  <c r="U27" i="9"/>
  <c r="U25" i="9"/>
  <c r="U26" i="9"/>
  <c r="AJ110" i="9"/>
  <c r="AJ108" i="9"/>
  <c r="AJ111" i="9"/>
  <c r="AO317" i="9"/>
  <c r="AU317" i="9"/>
  <c r="AS317" i="9"/>
  <c r="AQ317" i="9"/>
  <c r="AJ106" i="9"/>
  <c r="AU429" i="9"/>
  <c r="AS429" i="9"/>
  <c r="AQ429" i="9"/>
  <c r="AO429" i="9"/>
  <c r="AI394" i="9"/>
  <c r="AI15" i="9"/>
  <c r="AI306" i="9"/>
  <c r="AI106" i="9"/>
  <c r="AI109" i="9"/>
  <c r="AI110" i="9"/>
  <c r="AI111" i="9"/>
  <c r="AI108" i="9"/>
  <c r="AQ428" i="9" l="1"/>
  <c r="AS428" i="9"/>
  <c r="AO428" i="9"/>
  <c r="AJ310" i="9"/>
  <c r="AJ309" i="9"/>
  <c r="AJ271" i="9"/>
  <c r="AJ263" i="9"/>
  <c r="AJ187" i="9"/>
  <c r="AI187" i="9"/>
  <c r="AI139" i="9"/>
  <c r="AI155" i="9"/>
  <c r="AJ168" i="9"/>
  <c r="AI159" i="9"/>
  <c r="AI168" i="9"/>
  <c r="AJ139" i="9"/>
  <c r="AJ159" i="9"/>
  <c r="AJ127" i="9"/>
  <c r="AJ155" i="9"/>
  <c r="AJ188" i="9"/>
  <c r="AI188" i="9"/>
  <c r="AI147" i="9"/>
  <c r="AO316" i="9"/>
  <c r="AQ316" i="9"/>
  <c r="AS316" i="9"/>
  <c r="AJ147" i="9"/>
  <c r="AI127" i="9"/>
  <c r="AJ133" i="9"/>
  <c r="AI133" i="9"/>
  <c r="AS84" i="9"/>
  <c r="AQ84" i="9"/>
  <c r="AU84" i="9"/>
  <c r="AJ25" i="9"/>
  <c r="AI25" i="9"/>
  <c r="AS25" i="9" s="1"/>
  <c r="AU394" i="9"/>
  <c r="AS394" i="9"/>
  <c r="AQ394" i="9"/>
  <c r="AO394" i="9"/>
  <c r="AU426" i="9"/>
  <c r="AO426" i="9"/>
  <c r="AQ426" i="9"/>
  <c r="AS426" i="9"/>
  <c r="AS82" i="9"/>
  <c r="AQ82" i="9"/>
  <c r="AO82" i="9"/>
  <c r="AU82" i="9"/>
  <c r="AI24" i="9"/>
  <c r="AQ24" i="9" s="1"/>
  <c r="AS106" i="9"/>
  <c r="AQ106" i="9"/>
  <c r="AO106" i="9"/>
  <c r="AU106" i="9"/>
  <c r="AI309" i="9"/>
  <c r="AQ83" i="9"/>
  <c r="AO83" i="9"/>
  <c r="AU83" i="9"/>
  <c r="AS83" i="9"/>
  <c r="AI310" i="9"/>
  <c r="AQ425" i="9"/>
  <c r="AS425" i="9"/>
  <c r="AU425" i="9"/>
  <c r="AO425" i="9"/>
  <c r="AQ306" i="9"/>
  <c r="AO306" i="9"/>
  <c r="AU306" i="9"/>
  <c r="AS306" i="9"/>
  <c r="AO15" i="9"/>
  <c r="AU15" i="9"/>
  <c r="AS15" i="9"/>
  <c r="AQ15" i="9"/>
  <c r="AO161" i="9"/>
  <c r="AU161" i="9"/>
  <c r="AS161" i="9"/>
  <c r="AQ161" i="9"/>
  <c r="AJ24" i="9"/>
  <c r="AI27" i="9"/>
  <c r="AQ27" i="9" s="1"/>
  <c r="AI26" i="9"/>
  <c r="AJ26" i="9"/>
  <c r="AJ27" i="9"/>
  <c r="AU108" i="9"/>
  <c r="AS108" i="9"/>
  <c r="AQ108" i="9"/>
  <c r="AO108" i="9"/>
  <c r="AU110" i="9"/>
  <c r="AS110" i="9"/>
  <c r="AQ110" i="9"/>
  <c r="AO110" i="9"/>
  <c r="AQ109" i="9"/>
  <c r="AO109" i="9"/>
  <c r="AU109" i="9"/>
  <c r="AS109" i="9"/>
  <c r="AS111" i="9"/>
  <c r="AQ111" i="9"/>
  <c r="AO111" i="9"/>
  <c r="AU111" i="9"/>
  <c r="AO430" i="9"/>
  <c r="AS430" i="9"/>
  <c r="AU430" i="9"/>
  <c r="AQ430" i="9"/>
  <c r="AU25" i="9" l="1"/>
  <c r="AO25" i="9"/>
  <c r="AQ25" i="9"/>
  <c r="AS27" i="9"/>
  <c r="AU27" i="9"/>
  <c r="AO139" i="9"/>
  <c r="AU139" i="9"/>
  <c r="AS139" i="9"/>
  <c r="AQ139" i="9"/>
  <c r="AS310" i="9"/>
  <c r="AQ310" i="9"/>
  <c r="AO310" i="9"/>
  <c r="AU310" i="9"/>
  <c r="AQ127" i="9"/>
  <c r="AO127" i="9"/>
  <c r="AU127" i="9"/>
  <c r="AS127" i="9"/>
  <c r="AS133" i="9"/>
  <c r="AU133" i="9"/>
  <c r="AQ133" i="9"/>
  <c r="AO133" i="9"/>
  <c r="AS24" i="9"/>
  <c r="AO24" i="9"/>
  <c r="AU24" i="9"/>
  <c r="AS188" i="9"/>
  <c r="AU188" i="9"/>
  <c r="AQ188" i="9"/>
  <c r="AO188" i="9"/>
  <c r="AU147" i="9"/>
  <c r="AS147" i="9"/>
  <c r="AQ147" i="9"/>
  <c r="AO147" i="9"/>
  <c r="AO187" i="9"/>
  <c r="AU187" i="9"/>
  <c r="AS187" i="9"/>
  <c r="AQ187" i="9"/>
  <c r="AS159" i="9"/>
  <c r="AU159" i="9"/>
  <c r="AQ159" i="9"/>
  <c r="AO159" i="9"/>
  <c r="AO168" i="9"/>
  <c r="AU168" i="9"/>
  <c r="AS168" i="9"/>
  <c r="AQ168" i="9"/>
  <c r="AO27" i="9"/>
  <c r="AO309" i="9"/>
  <c r="AU309" i="9"/>
  <c r="AS309" i="9"/>
  <c r="AQ309" i="9"/>
  <c r="AS155" i="9"/>
  <c r="AQ155" i="9"/>
  <c r="AO155" i="9"/>
  <c r="AU155" i="9"/>
  <c r="AU26" i="9"/>
  <c r="AS26" i="9"/>
  <c r="AQ26" i="9"/>
  <c r="AO26" i="9"/>
  <c r="B113" i="9"/>
  <c r="B114" i="9"/>
  <c r="B115" i="9"/>
  <c r="B112" i="9"/>
  <c r="B182" i="9"/>
  <c r="B67" i="9"/>
  <c r="B251" i="9"/>
  <c r="B252" i="9"/>
  <c r="B253" i="9"/>
  <c r="U114" i="9" l="1"/>
  <c r="U252" i="9"/>
  <c r="U251" i="9"/>
  <c r="U67" i="9"/>
  <c r="U253" i="9"/>
  <c r="U182" i="9"/>
  <c r="U115" i="9"/>
  <c r="U112" i="9"/>
  <c r="U113" i="9"/>
  <c r="AJ182" i="9" l="1"/>
  <c r="AI182" i="9"/>
  <c r="AI112" i="9"/>
  <c r="AS112" i="9" s="1"/>
  <c r="AI115" i="9"/>
  <c r="AS115" i="9" s="1"/>
  <c r="AJ112" i="9"/>
  <c r="AI113" i="9"/>
  <c r="AQ113" i="9" s="1"/>
  <c r="AJ115" i="9"/>
  <c r="AI114" i="9"/>
  <c r="AJ113" i="9"/>
  <c r="AJ114" i="9"/>
  <c r="AU113" i="9" l="1"/>
  <c r="AO113" i="9"/>
  <c r="AO115" i="9"/>
  <c r="AS113" i="9"/>
  <c r="AQ115" i="9"/>
  <c r="AU115" i="9"/>
  <c r="AO112" i="9"/>
  <c r="AQ112" i="9"/>
  <c r="AU112" i="9"/>
  <c r="AS182" i="9"/>
  <c r="AU182" i="9"/>
  <c r="AQ182" i="9"/>
  <c r="AO182" i="9"/>
  <c r="AS114" i="9"/>
  <c r="AQ114" i="9"/>
  <c r="AO114" i="9"/>
  <c r="AU114" i="9"/>
  <c r="AI320" i="9" l="1"/>
  <c r="AI263" i="9"/>
  <c r="AI271" i="9"/>
  <c r="AO271" i="9" l="1"/>
  <c r="AU271" i="9"/>
  <c r="AS271" i="9"/>
  <c r="AQ271" i="9"/>
  <c r="AQ263" i="9"/>
  <c r="AO263" i="9"/>
  <c r="AU263" i="9"/>
  <c r="AS263" i="9"/>
  <c r="AN86" i="6"/>
  <c r="AP86" i="6"/>
  <c r="AR86" i="6"/>
  <c r="AT86" i="6"/>
  <c r="AS323" i="9"/>
  <c r="AQ323" i="9"/>
  <c r="AO323" i="9"/>
  <c r="AU323" i="9"/>
  <c r="AQ320" i="9"/>
  <c r="AO320" i="9"/>
  <c r="AU320" i="9"/>
  <c r="AS320" i="9"/>
  <c r="AN66" i="6"/>
  <c r="AP66" i="6"/>
  <c r="AR66" i="6"/>
  <c r="AT66" i="6"/>
  <c r="B58" i="16"/>
  <c r="B179" i="16"/>
  <c r="A179" i="16"/>
  <c r="B111" i="16"/>
  <c r="B56" i="16"/>
  <c r="B55" i="16"/>
  <c r="B166" i="16"/>
  <c r="A166" i="16"/>
  <c r="B66" i="16"/>
  <c r="B64" i="16"/>
  <c r="B101" i="16"/>
  <c r="B134" i="16"/>
  <c r="B129" i="16"/>
  <c r="B130" i="16"/>
  <c r="B131" i="16"/>
  <c r="B236" i="16"/>
  <c r="B24" i="18"/>
  <c r="B25" i="18"/>
  <c r="B26" i="18"/>
  <c r="A26" i="18"/>
  <c r="A25" i="18"/>
  <c r="A24" i="18"/>
  <c r="B12" i="18"/>
  <c r="J238" i="16" l="1"/>
  <c r="R238" i="16"/>
  <c r="K238" i="16"/>
  <c r="S238" i="16"/>
  <c r="L238" i="16"/>
  <c r="T238" i="16"/>
  <c r="M238" i="16"/>
  <c r="N238" i="16"/>
  <c r="O238" i="16"/>
  <c r="P238" i="16"/>
  <c r="Q238" i="16"/>
  <c r="Q23" i="33"/>
  <c r="Q24" i="33"/>
  <c r="Q27" i="33"/>
  <c r="Q35" i="33"/>
  <c r="Q25" i="33"/>
  <c r="Q33" i="33"/>
  <c r="Z25" i="18"/>
  <c r="Z26" i="18"/>
  <c r="AA26" i="18"/>
  <c r="AC26" i="18"/>
  <c r="V26" i="18"/>
  <c r="AD26" i="18"/>
  <c r="W26" i="18"/>
  <c r="AE26" i="18"/>
  <c r="X26" i="18"/>
  <c r="AF26" i="18"/>
  <c r="Y26" i="18"/>
  <c r="AG26" i="18"/>
  <c r="AB26" i="18"/>
  <c r="AI58" i="16" l="1"/>
  <c r="AJ58" i="16"/>
  <c r="AI134" i="16"/>
  <c r="AI66" i="16"/>
  <c r="X24" i="18"/>
  <c r="V25" i="18"/>
  <c r="AF24" i="18"/>
  <c r="AF25" i="18"/>
  <c r="AD25" i="18"/>
  <c r="AB25" i="18"/>
  <c r="AE24" i="18"/>
  <c r="AC25" i="18"/>
  <c r="X25" i="18"/>
  <c r="AE25" i="18"/>
  <c r="Y25" i="18"/>
  <c r="W25" i="18"/>
  <c r="Z24" i="18"/>
  <c r="V24" i="18"/>
  <c r="W24" i="18"/>
  <c r="AA25" i="18"/>
  <c r="AD24" i="18"/>
  <c r="AC24" i="18"/>
  <c r="AA24" i="18"/>
  <c r="AG25" i="18"/>
  <c r="AG24" i="18"/>
  <c r="Y24" i="18"/>
  <c r="AB24" i="18"/>
  <c r="AE12" i="18"/>
  <c r="AE15" i="18" s="1"/>
  <c r="T25" i="18"/>
  <c r="AF12" i="18"/>
  <c r="AF15" i="18" s="1"/>
  <c r="T24" i="18"/>
  <c r="T12" i="18"/>
  <c r="AG12" i="18"/>
  <c r="AG15" i="18" s="1"/>
  <c r="T26" i="18"/>
  <c r="AJ179" i="16"/>
  <c r="AI179" i="16"/>
  <c r="U134" i="16"/>
  <c r="U55" i="16"/>
  <c r="U58" i="16"/>
  <c r="U111" i="16"/>
  <c r="U179" i="16"/>
  <c r="U66" i="16"/>
  <c r="U101" i="16"/>
  <c r="U166" i="16"/>
  <c r="U56" i="16"/>
  <c r="Z12" i="18"/>
  <c r="Z15" i="18" s="1"/>
  <c r="AB12" i="18"/>
  <c r="AB15" i="18" s="1"/>
  <c r="AC12" i="18"/>
  <c r="AC15" i="18" s="1"/>
  <c r="AD12" i="18"/>
  <c r="AD15" i="18" s="1"/>
  <c r="W12" i="18"/>
  <c r="W15" i="18" s="1"/>
  <c r="X12" i="18"/>
  <c r="X15" i="18" s="1"/>
  <c r="Y12" i="18"/>
  <c r="Y15" i="18" s="1"/>
  <c r="AA12" i="18"/>
  <c r="AA15" i="18" s="1"/>
  <c r="V12" i="18"/>
  <c r="AJ111" i="16" l="1"/>
  <c r="AI111" i="16"/>
  <c r="AI56" i="16"/>
  <c r="AJ56" i="16"/>
  <c r="AI55" i="16"/>
  <c r="AJ55" i="16"/>
  <c r="AH25" i="18"/>
  <c r="AI26" i="18"/>
  <c r="AI24" i="18"/>
  <c r="AI25" i="18"/>
  <c r="AH26" i="18"/>
  <c r="AH24" i="18"/>
  <c r="AJ134" i="16"/>
  <c r="AJ101" i="16"/>
  <c r="AI101" i="16"/>
  <c r="V15" i="18"/>
  <c r="AI12" i="18"/>
  <c r="AI15" i="18" s="1"/>
  <c r="AJ166" i="16"/>
  <c r="AI166" i="16"/>
  <c r="AJ66" i="16"/>
  <c r="AR56" i="16" l="1"/>
  <c r="AP56" i="16"/>
  <c r="AT56" i="16"/>
  <c r="AN56" i="16"/>
  <c r="AT55" i="16"/>
  <c r="AR55" i="16"/>
  <c r="AN55" i="16"/>
  <c r="AP55" i="16"/>
  <c r="AN101" i="16"/>
  <c r="AT101" i="16"/>
  <c r="AR101" i="16"/>
  <c r="AP101" i="16"/>
  <c r="AT111" i="16"/>
  <c r="AR111" i="16"/>
  <c r="AN111" i="16"/>
  <c r="AP111" i="16"/>
  <c r="AR58" i="16"/>
  <c r="AP58" i="16"/>
  <c r="AN58" i="16"/>
  <c r="AT58" i="16"/>
  <c r="A164" i="16"/>
  <c r="AN60" i="16" l="1"/>
  <c r="AT60" i="16"/>
  <c r="AR60" i="16"/>
  <c r="AP60" i="16"/>
  <c r="A308" i="9" l="1"/>
  <c r="A307" i="9"/>
  <c r="A172" i="7"/>
  <c r="A155" i="7"/>
  <c r="A154" i="7"/>
  <c r="A95" i="6"/>
  <c r="A100" i="6"/>
  <c r="A94" i="6"/>
  <c r="A130" i="5"/>
  <c r="A129" i="5"/>
  <c r="A128" i="5"/>
  <c r="A127" i="5"/>
  <c r="A144" i="5"/>
  <c r="A143" i="5"/>
  <c r="F7" i="64" l="1"/>
  <c r="A188" i="5"/>
  <c r="A189" i="5"/>
  <c r="A190" i="5"/>
  <c r="A191" i="5"/>
  <c r="A192" i="5"/>
  <c r="A193" i="5"/>
  <c r="A194" i="5"/>
  <c r="A195" i="5"/>
  <c r="A196" i="5"/>
  <c r="A201" i="5"/>
  <c r="A202" i="5"/>
  <c r="A204" i="5"/>
  <c r="A206" i="5"/>
  <c r="A208" i="5"/>
  <c r="A187" i="5"/>
  <c r="A71" i="5"/>
  <c r="A72" i="5"/>
  <c r="A74" i="5"/>
  <c r="A75" i="5"/>
  <c r="A76" i="5"/>
  <c r="A77" i="5"/>
  <c r="A78" i="5"/>
  <c r="A79" i="5"/>
  <c r="A80" i="5"/>
  <c r="A81" i="5"/>
  <c r="A82" i="5"/>
  <c r="A83" i="5"/>
  <c r="A84" i="5"/>
  <c r="A85" i="5"/>
  <c r="A86" i="5"/>
  <c r="A87" i="5"/>
  <c r="A88" i="5"/>
  <c r="A89" i="5"/>
  <c r="A90" i="5"/>
  <c r="A91" i="5"/>
  <c r="A92" i="5"/>
  <c r="A94" i="5"/>
  <c r="A95" i="5"/>
  <c r="A96" i="5"/>
  <c r="A97" i="5"/>
  <c r="A98" i="5"/>
  <c r="A99" i="5"/>
  <c r="A100" i="5"/>
  <c r="A101" i="5"/>
  <c r="A102" i="5"/>
  <c r="A103" i="5"/>
  <c r="A104" i="5"/>
  <c r="A105" i="5"/>
  <c r="A107" i="5"/>
  <c r="A108" i="5"/>
  <c r="A109" i="5"/>
  <c r="A110" i="5"/>
  <c r="A112" i="5"/>
  <c r="A113" i="5"/>
  <c r="A114" i="5"/>
  <c r="A115" i="5"/>
  <c r="A116" i="5"/>
  <c r="A117" i="5"/>
  <c r="A118" i="5"/>
  <c r="A119" i="5"/>
  <c r="A120" i="5"/>
  <c r="A121" i="5"/>
  <c r="A122" i="5"/>
  <c r="A124" i="5"/>
  <c r="A125" i="5"/>
  <c r="A126" i="5"/>
  <c r="A145" i="5"/>
  <c r="A146" i="5"/>
  <c r="A147" i="5"/>
  <c r="A148" i="5"/>
  <c r="A150" i="5"/>
  <c r="A151" i="5"/>
  <c r="A152" i="5"/>
  <c r="A153" i="5"/>
  <c r="A154" i="5"/>
  <c r="A155" i="5"/>
  <c r="A156" i="5"/>
  <c r="A157" i="5"/>
  <c r="A158" i="5"/>
  <c r="A159" i="5"/>
  <c r="A160" i="5"/>
  <c r="A161" i="5"/>
  <c r="A162" i="5"/>
  <c r="A163" i="5"/>
  <c r="A164" i="5"/>
  <c r="A165" i="5"/>
  <c r="A166" i="5"/>
  <c r="A167" i="5"/>
  <c r="A168" i="5"/>
  <c r="A169" i="5"/>
  <c r="A170" i="5"/>
  <c r="A171" i="5"/>
  <c r="A172" i="5"/>
  <c r="A174" i="5"/>
  <c r="A133" i="5"/>
  <c r="A134" i="5"/>
  <c r="A135" i="5"/>
  <c r="A136" i="5"/>
  <c r="A137" i="5"/>
  <c r="A138" i="5"/>
  <c r="A139" i="5"/>
  <c r="A140" i="5"/>
  <c r="A141" i="5"/>
  <c r="A142" i="5"/>
  <c r="A175" i="5"/>
  <c r="A179" i="5"/>
  <c r="A180" i="5"/>
  <c r="A18" i="18" l="1"/>
  <c r="A19" i="18"/>
  <c r="A20" i="18"/>
  <c r="A21" i="18"/>
  <c r="A22" i="18"/>
  <c r="A23" i="18"/>
  <c r="A29" i="18"/>
  <c r="A30" i="18"/>
  <c r="A31" i="18"/>
  <c r="A32" i="18"/>
  <c r="A33" i="18"/>
  <c r="A34" i="18"/>
  <c r="A37" i="18"/>
  <c r="A214" i="16"/>
  <c r="A215" i="16"/>
  <c r="A216" i="16"/>
  <c r="A219" i="16"/>
  <c r="A220" i="16"/>
  <c r="A213" i="16"/>
  <c r="A143" i="16"/>
  <c r="A144" i="16"/>
  <c r="A145" i="16"/>
  <c r="A146" i="16"/>
  <c r="A147" i="16"/>
  <c r="A148" i="16"/>
  <c r="A149" i="16"/>
  <c r="A150" i="16"/>
  <c r="A151" i="16"/>
  <c r="A152" i="16"/>
  <c r="A153" i="16"/>
  <c r="A154" i="16"/>
  <c r="A155" i="16"/>
  <c r="A156" i="16"/>
  <c r="A157" i="16"/>
  <c r="A158" i="16"/>
  <c r="A159" i="16"/>
  <c r="A160" i="16"/>
  <c r="A161" i="16"/>
  <c r="A162" i="16"/>
  <c r="A174" i="16"/>
  <c r="A175" i="16"/>
  <c r="A176" i="16"/>
  <c r="A180" i="16"/>
  <c r="A181" i="16"/>
  <c r="A182" i="16"/>
  <c r="A183" i="16"/>
  <c r="A184" i="16"/>
  <c r="A188" i="16"/>
  <c r="A165" i="16"/>
  <c r="A168" i="16"/>
  <c r="A422" i="9"/>
  <c r="A423" i="9"/>
  <c r="A424" i="9"/>
  <c r="A427" i="9"/>
  <c r="A432" i="9"/>
  <c r="A421" i="9"/>
  <c r="A261" i="9"/>
  <c r="A262" i="9"/>
  <c r="A264" i="9"/>
  <c r="A265" i="9"/>
  <c r="A266" i="9"/>
  <c r="A267" i="9"/>
  <c r="A268" i="9"/>
  <c r="A269" i="9"/>
  <c r="A270" i="9"/>
  <c r="A272" i="9"/>
  <c r="A273" i="9"/>
  <c r="A274" i="9"/>
  <c r="A275" i="9"/>
  <c r="A276" i="9"/>
  <c r="A277" i="9"/>
  <c r="A278" i="9"/>
  <c r="A279" i="9"/>
  <c r="A280" i="9"/>
  <c r="A281" i="9"/>
  <c r="A283" i="9"/>
  <c r="A284" i="9"/>
  <c r="A285" i="9"/>
  <c r="A286" i="9"/>
  <c r="A287" i="9"/>
  <c r="A288" i="9"/>
  <c r="A289" i="9"/>
  <c r="A290" i="9"/>
  <c r="A291" i="9"/>
  <c r="A292" i="9"/>
  <c r="A293" i="9"/>
  <c r="A294" i="9"/>
  <c r="A295" i="9"/>
  <c r="A296" i="9"/>
  <c r="A297" i="9"/>
  <c r="A298" i="9"/>
  <c r="A299" i="9"/>
  <c r="A300" i="9"/>
  <c r="A301" i="9"/>
  <c r="A302" i="9"/>
  <c r="A303" i="9"/>
  <c r="A304" i="9"/>
  <c r="A305" i="9"/>
  <c r="A311" i="9"/>
  <c r="A312" i="9"/>
  <c r="A313" i="9"/>
  <c r="A314" i="9"/>
  <c r="A315" i="9"/>
  <c r="A319" i="9"/>
  <c r="A321" i="9"/>
  <c r="A324" i="9"/>
  <c r="A322" i="9"/>
  <c r="A335" i="9"/>
  <c r="A336" i="9"/>
  <c r="A337" i="9"/>
  <c r="A338" i="9"/>
  <c r="A339" i="9"/>
  <c r="A340" i="9"/>
  <c r="A341" i="9"/>
  <c r="A342" i="9"/>
  <c r="A343" i="9"/>
  <c r="A344" i="9"/>
  <c r="A345" i="9"/>
  <c r="A347" i="9"/>
  <c r="A349" i="9"/>
  <c r="A350" i="9"/>
  <c r="A352" i="9"/>
  <c r="A353" i="9"/>
  <c r="A354" i="9"/>
  <c r="A355" i="9"/>
  <c r="A356" i="9"/>
  <c r="A357" i="9"/>
  <c r="A325" i="9"/>
  <c r="A326" i="9"/>
  <c r="A327" i="9"/>
  <c r="A328" i="9"/>
  <c r="A329" i="9"/>
  <c r="A330" i="9"/>
  <c r="A332" i="9"/>
  <c r="A333" i="9"/>
  <c r="A358" i="9"/>
  <c r="A359" i="9"/>
  <c r="A260" i="9"/>
  <c r="A238" i="7"/>
  <c r="A237" i="7"/>
  <c r="A236" i="7"/>
  <c r="A235" i="7"/>
  <c r="A234" i="7"/>
  <c r="A233" i="7"/>
  <c r="A232" i="7"/>
  <c r="A231" i="7"/>
  <c r="A226" i="7"/>
  <c r="A225" i="7"/>
  <c r="A224" i="7"/>
  <c r="A223" i="7"/>
  <c r="A178" i="7"/>
  <c r="A174" i="7"/>
  <c r="A171" i="7"/>
  <c r="A170" i="7"/>
  <c r="A168" i="7"/>
  <c r="A167" i="7"/>
  <c r="A165" i="7"/>
  <c r="A162" i="7"/>
  <c r="A159" i="7"/>
  <c r="A156" i="7"/>
  <c r="A153" i="7"/>
  <c r="A150" i="7"/>
  <c r="A149" i="7"/>
  <c r="A146" i="7"/>
  <c r="A145" i="7"/>
  <c r="A142" i="7"/>
  <c r="A141" i="7"/>
  <c r="A140" i="7"/>
  <c r="A139" i="7"/>
  <c r="A136" i="7"/>
  <c r="A132" i="7"/>
  <c r="A131" i="7"/>
  <c r="A130" i="7"/>
  <c r="A126" i="7"/>
  <c r="A159" i="6"/>
  <c r="A157" i="6"/>
  <c r="A156" i="6"/>
  <c r="A155" i="6"/>
  <c r="A154" i="6"/>
  <c r="A153" i="6"/>
  <c r="A152" i="6"/>
  <c r="A147" i="6"/>
  <c r="A146" i="6"/>
  <c r="A145" i="6"/>
  <c r="A144" i="6"/>
  <c r="A143" i="6"/>
  <c r="A142" i="6"/>
  <c r="A114" i="6"/>
  <c r="A112" i="6"/>
  <c r="A109" i="6"/>
  <c r="A106" i="6"/>
  <c r="A105" i="6"/>
  <c r="A104" i="6"/>
  <c r="A103" i="6"/>
  <c r="A102" i="6"/>
  <c r="A101" i="6"/>
  <c r="A99" i="6"/>
  <c r="A98" i="6"/>
  <c r="A93" i="6"/>
  <c r="A92" i="6"/>
  <c r="A91" i="6"/>
  <c r="A90" i="6"/>
  <c r="A89" i="6"/>
  <c r="A87" i="6"/>
  <c r="A85" i="6"/>
  <c r="A83" i="6"/>
  <c r="A82" i="6"/>
  <c r="A81" i="6"/>
  <c r="A80" i="6"/>
  <c r="A79" i="6"/>
  <c r="A78" i="6"/>
  <c r="A77" i="6"/>
  <c r="A76" i="6"/>
  <c r="A75" i="6"/>
  <c r="A74" i="6"/>
  <c r="A73" i="6"/>
  <c r="A72" i="6"/>
  <c r="A71" i="6"/>
  <c r="A70" i="6"/>
  <c r="A69" i="6"/>
  <c r="A68" i="6"/>
  <c r="A65" i="6"/>
  <c r="B65" i="6"/>
  <c r="B68" i="6"/>
  <c r="B69" i="6"/>
  <c r="B70" i="6"/>
  <c r="B71" i="6"/>
  <c r="B72" i="6"/>
  <c r="B73" i="6"/>
  <c r="B74" i="6"/>
  <c r="B75" i="6"/>
  <c r="B76" i="6"/>
  <c r="B77" i="6"/>
  <c r="B78" i="6"/>
  <c r="B79" i="6"/>
  <c r="B80" i="6"/>
  <c r="B81" i="6"/>
  <c r="B82" i="6"/>
  <c r="B83" i="6"/>
  <c r="B85" i="6"/>
  <c r="B94" i="6"/>
  <c r="B87" i="6"/>
  <c r="B89" i="6"/>
  <c r="B90" i="6"/>
  <c r="B91" i="6"/>
  <c r="B92" i="6"/>
  <c r="B93" i="6"/>
  <c r="B98" i="6"/>
  <c r="B99" i="6"/>
  <c r="B100" i="6"/>
  <c r="B101" i="6"/>
  <c r="B102" i="6"/>
  <c r="B103" i="6"/>
  <c r="B104" i="6"/>
  <c r="B95" i="6"/>
  <c r="B105" i="6"/>
  <c r="B106" i="6"/>
  <c r="B109" i="6"/>
  <c r="B112" i="6"/>
  <c r="B114" i="6"/>
  <c r="U138" i="1" l="1"/>
  <c r="V138" i="1"/>
  <c r="W138" i="1"/>
  <c r="X138" i="1"/>
  <c r="Y138" i="1"/>
  <c r="Z138" i="1"/>
  <c r="AA138" i="1"/>
  <c r="AB138" i="1"/>
  <c r="AC138" i="1"/>
  <c r="AD138" i="1"/>
  <c r="AE138" i="1"/>
  <c r="AF138" i="1"/>
  <c r="AH138" i="1" l="1"/>
  <c r="S138" i="1"/>
  <c r="AG138" i="1" l="1"/>
  <c r="AK138" i="1" s="1"/>
  <c r="AH12" i="18"/>
  <c r="AH15" i="18" s="1"/>
  <c r="K21" i="64"/>
  <c r="J9" i="64"/>
  <c r="AM12" i="18" l="1"/>
  <c r="AS12" i="18"/>
  <c r="AQ12" i="18"/>
  <c r="AO12" i="18"/>
  <c r="J21" i="64"/>
  <c r="L14" i="64"/>
  <c r="K9" i="64"/>
  <c r="N14" i="64" l="1"/>
  <c r="B24" i="16" l="1"/>
  <c r="B49" i="16"/>
  <c r="B136" i="16"/>
  <c r="B21" i="6" l="1"/>
  <c r="AJ52" i="16" l="1"/>
  <c r="AI52" i="16"/>
  <c r="U136" i="16"/>
  <c r="U49" i="16"/>
  <c r="U24" i="16"/>
  <c r="AI24" i="16" l="1"/>
  <c r="AI49" i="16"/>
  <c r="AJ49" i="16"/>
  <c r="AI136" i="16"/>
  <c r="AJ136" i="16"/>
  <c r="AH196" i="5"/>
  <c r="AI196" i="5"/>
  <c r="AJ24" i="16"/>
  <c r="AI82" i="5"/>
  <c r="T82" i="5"/>
  <c r="AI117" i="5"/>
  <c r="T117" i="5"/>
  <c r="U21" i="6"/>
  <c r="T196" i="5"/>
  <c r="B229" i="16"/>
  <c r="B228" i="16"/>
  <c r="B202" i="16"/>
  <c r="B106" i="16"/>
  <c r="B226" i="16"/>
  <c r="AH117" i="5" l="1"/>
  <c r="AS117" i="5" s="1"/>
  <c r="AH82" i="5"/>
  <c r="AQ82" i="5" s="1"/>
  <c r="AN49" i="16"/>
  <c r="AT49" i="16"/>
  <c r="AR49" i="16"/>
  <c r="AP49" i="16"/>
  <c r="AT24" i="16"/>
  <c r="AR24" i="16"/>
  <c r="AN24" i="16"/>
  <c r="AP24" i="16"/>
  <c r="B397" i="9"/>
  <c r="B280" i="9"/>
  <c r="B445" i="9"/>
  <c r="B444" i="9"/>
  <c r="B446" i="9"/>
  <c r="B443" i="9"/>
  <c r="B405" i="9"/>
  <c r="AO82" i="5" l="1"/>
  <c r="AM82" i="5"/>
  <c r="AO117" i="5"/>
  <c r="AQ117" i="5"/>
  <c r="AM117" i="5"/>
  <c r="AS82" i="5"/>
  <c r="U228" i="16"/>
  <c r="U229" i="16"/>
  <c r="U202" i="16"/>
  <c r="U226" i="16"/>
  <c r="U106" i="16"/>
  <c r="B236" i="7"/>
  <c r="B225" i="7"/>
  <c r="B238" i="7"/>
  <c r="B237" i="7"/>
  <c r="B214" i="7"/>
  <c r="B235" i="7"/>
  <c r="B157" i="6"/>
  <c r="B156" i="6"/>
  <c r="B155" i="6"/>
  <c r="B154" i="6"/>
  <c r="AJ106" i="16" l="1"/>
  <c r="AJ202" i="16"/>
  <c r="AI202" i="16"/>
  <c r="AI106" i="16"/>
  <c r="U444" i="9"/>
  <c r="U445" i="9"/>
  <c r="U443" i="9"/>
  <c r="U446" i="9"/>
  <c r="U405" i="9"/>
  <c r="U397" i="9"/>
  <c r="U280" i="9"/>
  <c r="AF213" i="1"/>
  <c r="AE213" i="1"/>
  <c r="AD213" i="1"/>
  <c r="AC213" i="1"/>
  <c r="AB213" i="1"/>
  <c r="AA213" i="1"/>
  <c r="Z213" i="1"/>
  <c r="Y213" i="1"/>
  <c r="X213" i="1"/>
  <c r="W213" i="1"/>
  <c r="V213" i="1"/>
  <c r="AJ280" i="9" l="1"/>
  <c r="AI397" i="9"/>
  <c r="AI405" i="9"/>
  <c r="AJ397" i="9"/>
  <c r="AJ405" i="9"/>
  <c r="AI225" i="7"/>
  <c r="AJ225" i="7"/>
  <c r="AH200" i="5"/>
  <c r="AH202" i="5"/>
  <c r="S213" i="1"/>
  <c r="AI200" i="5"/>
  <c r="AI202" i="5"/>
  <c r="AI201" i="5"/>
  <c r="AH201" i="5"/>
  <c r="AI204" i="5"/>
  <c r="AH204" i="5"/>
  <c r="AJ83" i="6"/>
  <c r="AI83" i="6"/>
  <c r="AI280" i="9"/>
  <c r="AS280" i="9" s="1"/>
  <c r="AT52" i="16"/>
  <c r="AP52" i="16"/>
  <c r="AN52" i="16"/>
  <c r="AR52" i="16"/>
  <c r="AT202" i="16"/>
  <c r="AR202" i="16"/>
  <c r="AP202" i="16"/>
  <c r="AN202" i="16"/>
  <c r="AT106" i="16"/>
  <c r="AR106" i="16"/>
  <c r="AP106" i="16"/>
  <c r="AN106" i="16"/>
  <c r="U236" i="7"/>
  <c r="U225" i="7"/>
  <c r="U238" i="7"/>
  <c r="U237" i="7"/>
  <c r="U214" i="7"/>
  <c r="U235" i="7"/>
  <c r="U83" i="6"/>
  <c r="U157" i="6"/>
  <c r="U156" i="6"/>
  <c r="U155" i="6"/>
  <c r="U154" i="6"/>
  <c r="T217" i="5"/>
  <c r="T200" i="5"/>
  <c r="T204" i="5"/>
  <c r="T201" i="5"/>
  <c r="T202" i="5"/>
  <c r="AI214" i="7" l="1"/>
  <c r="AJ214" i="7"/>
  <c r="AH213" i="1"/>
  <c r="AG213" i="1"/>
  <c r="AU280" i="9"/>
  <c r="AO280" i="9"/>
  <c r="AQ280" i="9"/>
  <c r="AO225" i="7"/>
  <c r="AM225" i="7"/>
  <c r="AQ225" i="7"/>
  <c r="AT83" i="6"/>
  <c r="AP83" i="6"/>
  <c r="AR83" i="6"/>
  <c r="AN83" i="6"/>
  <c r="T218" i="5"/>
  <c r="T219" i="5"/>
  <c r="T216" i="5"/>
  <c r="T214" i="5" l="1"/>
  <c r="T215" i="5"/>
  <c r="U32" i="6" l="1"/>
  <c r="AH148" i="5" l="1"/>
  <c r="AH169" i="5"/>
  <c r="AH143" i="5"/>
  <c r="AH179" i="5"/>
  <c r="U34" i="6"/>
  <c r="AI148" i="5"/>
  <c r="AI169" i="5"/>
  <c r="AI143" i="5"/>
  <c r="AI179" i="5"/>
  <c r="V45" i="5"/>
  <c r="T148" i="5"/>
  <c r="T84" i="5"/>
  <c r="T76" i="5"/>
  <c r="T90" i="5"/>
  <c r="T98" i="5"/>
  <c r="T169" i="5"/>
  <c r="T143" i="5"/>
  <c r="AI100" i="5"/>
  <c r="T100" i="5"/>
  <c r="T107" i="5"/>
  <c r="T179" i="5"/>
  <c r="T71" i="5"/>
  <c r="T118" i="5"/>
  <c r="T83" i="5"/>
  <c r="AI75" i="5"/>
  <c r="T75" i="5"/>
  <c r="T97" i="5"/>
  <c r="W45" i="5"/>
  <c r="AA45" i="5"/>
  <c r="AE45" i="5"/>
  <c r="Y45" i="5"/>
  <c r="AC45" i="5"/>
  <c r="AG45" i="5"/>
  <c r="Z45" i="5"/>
  <c r="AD45" i="5"/>
  <c r="X45" i="5"/>
  <c r="AB45" i="5"/>
  <c r="AF45" i="5"/>
  <c r="T41" i="5"/>
  <c r="AH100" i="5" l="1"/>
  <c r="AO100" i="5" s="1"/>
  <c r="AH75" i="5"/>
  <c r="AQ75" i="5" s="1"/>
  <c r="AH83" i="5"/>
  <c r="AQ83" i="5" s="1"/>
  <c r="AI83" i="5"/>
  <c r="AH84" i="5"/>
  <c r="AQ84" i="5" s="1"/>
  <c r="AI84" i="5"/>
  <c r="AH97" i="5"/>
  <c r="AS97" i="5" s="1"/>
  <c r="AI97" i="5"/>
  <c r="AH71" i="5"/>
  <c r="AS71" i="5" s="1"/>
  <c r="AI71" i="5"/>
  <c r="AH98" i="5"/>
  <c r="AO98" i="5" s="1"/>
  <c r="AI98" i="5"/>
  <c r="AH76" i="5"/>
  <c r="AO76" i="5" s="1"/>
  <c r="AI76" i="5"/>
  <c r="AH118" i="5"/>
  <c r="AQ118" i="5" s="1"/>
  <c r="AI118" i="5"/>
  <c r="AI41" i="5"/>
  <c r="AI45" i="5" s="1"/>
  <c r="AH107" i="5"/>
  <c r="AQ107" i="5" s="1"/>
  <c r="AI107" i="5"/>
  <c r="AH90" i="5"/>
  <c r="AS90" i="5" s="1"/>
  <c r="AI90" i="5"/>
  <c r="AH41" i="5"/>
  <c r="AS75" i="5" l="1"/>
  <c r="AS107" i="5"/>
  <c r="AM107" i="5"/>
  <c r="AQ100" i="5"/>
  <c r="AM75" i="5"/>
  <c r="AS100" i="5"/>
  <c r="AM100" i="5"/>
  <c r="AO75" i="5"/>
  <c r="AO83" i="5"/>
  <c r="AO71" i="5"/>
  <c r="AM71" i="5"/>
  <c r="AQ71" i="5"/>
  <c r="AS98" i="5"/>
  <c r="AO107" i="5"/>
  <c r="AM83" i="5"/>
  <c r="AQ98" i="5"/>
  <c r="AM76" i="5"/>
  <c r="AQ76" i="5"/>
  <c r="AM98" i="5"/>
  <c r="AO84" i="5"/>
  <c r="AM90" i="5"/>
  <c r="AM84" i="5"/>
  <c r="AO90" i="5"/>
  <c r="AS83" i="5"/>
  <c r="AM97" i="5"/>
  <c r="AM118" i="5"/>
  <c r="AO118" i="5"/>
  <c r="AQ97" i="5"/>
  <c r="AS118" i="5"/>
  <c r="AO97" i="5"/>
  <c r="AQ90" i="5"/>
  <c r="AS76" i="5"/>
  <c r="AS84" i="5"/>
  <c r="AH45" i="5"/>
  <c r="AM41" i="5"/>
  <c r="AM45" i="5" s="1"/>
  <c r="U264" i="1"/>
  <c r="V264" i="1"/>
  <c r="W264" i="1"/>
  <c r="X264" i="1"/>
  <c r="Y264" i="1"/>
  <c r="Z264" i="1"/>
  <c r="AA264" i="1"/>
  <c r="AB264" i="1"/>
  <c r="AC264" i="1"/>
  <c r="AD264" i="1"/>
  <c r="AE264" i="1"/>
  <c r="AF264" i="1"/>
  <c r="S264" i="1" l="1"/>
  <c r="AH264" i="1"/>
  <c r="T70" i="5"/>
  <c r="AG264" i="1" l="1"/>
  <c r="AI67" i="16"/>
  <c r="AI63" i="16"/>
  <c r="AI62" i="16"/>
  <c r="AI47" i="16"/>
  <c r="B414" i="9"/>
  <c r="B150" i="7"/>
  <c r="Q22" i="33" l="1"/>
  <c r="AI414" i="9" l="1"/>
  <c r="AJ414" i="9"/>
  <c r="U414" i="9"/>
  <c r="U150" i="7"/>
  <c r="AJ150" i="7" l="1"/>
  <c r="AI150" i="7"/>
  <c r="AQ150" i="7" s="1"/>
  <c r="AO150" i="7" l="1"/>
  <c r="AM150" i="7"/>
  <c r="AD16" i="33" l="1"/>
  <c r="AC16" i="33"/>
  <c r="AB16" i="33"/>
  <c r="AA16" i="33"/>
  <c r="Z16" i="33"/>
  <c r="Y16" i="33"/>
  <c r="X16" i="33"/>
  <c r="W16" i="33"/>
  <c r="V16" i="33"/>
  <c r="U16" i="33"/>
  <c r="T16" i="33"/>
  <c r="AD15" i="33"/>
  <c r="AC15" i="33"/>
  <c r="AB15" i="33"/>
  <c r="AA15" i="33"/>
  <c r="Z15" i="33"/>
  <c r="Y15" i="33"/>
  <c r="X15" i="33"/>
  <c r="W15" i="33"/>
  <c r="V15" i="33"/>
  <c r="U15" i="33"/>
  <c r="T15" i="33"/>
  <c r="AD14" i="33"/>
  <c r="AC14" i="33"/>
  <c r="AB14" i="33"/>
  <c r="AA14" i="33"/>
  <c r="Z14" i="33"/>
  <c r="Y14" i="33"/>
  <c r="X14" i="33"/>
  <c r="W14" i="33"/>
  <c r="V14" i="33"/>
  <c r="U14" i="33"/>
  <c r="T14" i="33"/>
  <c r="S13" i="33"/>
  <c r="Q18" i="33" l="1"/>
  <c r="Q20" i="33"/>
  <c r="K37" i="33"/>
  <c r="F37" i="33"/>
  <c r="N37" i="33"/>
  <c r="G37" i="33"/>
  <c r="O37" i="33"/>
  <c r="J37" i="33"/>
  <c r="W13" i="33"/>
  <c r="W30" i="33" s="1"/>
  <c r="I30" i="33"/>
  <c r="S14" i="33"/>
  <c r="AE14" i="33" s="1"/>
  <c r="Q14" i="33"/>
  <c r="S16" i="33"/>
  <c r="AE16" i="33" s="1"/>
  <c r="Q16" i="33"/>
  <c r="I37" i="33"/>
  <c r="X13" i="33"/>
  <c r="X30" i="33" s="1"/>
  <c r="J30" i="33"/>
  <c r="Y13" i="33"/>
  <c r="Y30" i="33" s="1"/>
  <c r="K30" i="33"/>
  <c r="Z13" i="33"/>
  <c r="Z30" i="33" s="1"/>
  <c r="L30" i="33"/>
  <c r="L37" i="33"/>
  <c r="AA13" i="33"/>
  <c r="AA30" i="33" s="1"/>
  <c r="M30" i="33"/>
  <c r="S15" i="33"/>
  <c r="AE15" i="33" s="1"/>
  <c r="Q15" i="33"/>
  <c r="Q17" i="33"/>
  <c r="Q19" i="33"/>
  <c r="Q21" i="33"/>
  <c r="M37" i="33"/>
  <c r="T13" i="33"/>
  <c r="T30" i="33" s="1"/>
  <c r="F30" i="33"/>
  <c r="AB13" i="33"/>
  <c r="AB30" i="33" s="1"/>
  <c r="N30" i="33"/>
  <c r="U13" i="33"/>
  <c r="U30" i="33" s="1"/>
  <c r="G30" i="33"/>
  <c r="AC13" i="33"/>
  <c r="AC30" i="33" s="1"/>
  <c r="O30" i="33"/>
  <c r="V13" i="33"/>
  <c r="V30" i="33" s="1"/>
  <c r="H30" i="33"/>
  <c r="AD13" i="33"/>
  <c r="AD30" i="33" s="1"/>
  <c r="P30" i="33"/>
  <c r="H37" i="33"/>
  <c r="P37" i="33"/>
  <c r="AJ89" i="6"/>
  <c r="AI89" i="6"/>
  <c r="AJ65" i="6"/>
  <c r="AI65" i="6"/>
  <c r="AJ100" i="6"/>
  <c r="AI100" i="6"/>
  <c r="I174" i="6"/>
  <c r="E30" i="33"/>
  <c r="E37" i="33"/>
  <c r="AF16" i="33" l="1"/>
  <c r="N40" i="33"/>
  <c r="S30" i="33"/>
  <c r="F40" i="33"/>
  <c r="P40" i="33"/>
  <c r="AF13" i="33"/>
  <c r="O40" i="33"/>
  <c r="AF14" i="33"/>
  <c r="G40" i="33"/>
  <c r="AF15" i="33"/>
  <c r="K40" i="33"/>
  <c r="L40" i="33"/>
  <c r="AE13" i="33"/>
  <c r="J40" i="33"/>
  <c r="H40" i="33"/>
  <c r="M40" i="33"/>
  <c r="I40" i="33"/>
  <c r="AN65" i="6"/>
  <c r="AP65" i="6"/>
  <c r="AR65" i="6"/>
  <c r="AR89" i="6"/>
  <c r="AN89" i="6"/>
  <c r="AP89" i="6"/>
  <c r="AT89" i="6"/>
  <c r="B404" i="9"/>
  <c r="B217" i="7"/>
  <c r="B146" i="7"/>
  <c r="AC35" i="1"/>
  <c r="AC36" i="1"/>
  <c r="AC37" i="1"/>
  <c r="AC9" i="1"/>
  <c r="AC10" i="1"/>
  <c r="AC11" i="1"/>
  <c r="AC12" i="1"/>
  <c r="AC13" i="1"/>
  <c r="AC14" i="1"/>
  <c r="AC15" i="1"/>
  <c r="AC16" i="1"/>
  <c r="AC17" i="1"/>
  <c r="AC18" i="1"/>
  <c r="AC19" i="1"/>
  <c r="AC20" i="1"/>
  <c r="AC21" i="1"/>
  <c r="AC27" i="1"/>
  <c r="AC28" i="1"/>
  <c r="AC72" i="1" l="1"/>
  <c r="AF30" i="33"/>
  <c r="K16" i="64"/>
  <c r="K23" i="64" s="1"/>
  <c r="AE30" i="33"/>
  <c r="AT65" i="6"/>
  <c r="AD38" i="5"/>
  <c r="AD65" i="5"/>
  <c r="U404" i="9" l="1"/>
  <c r="U217" i="7"/>
  <c r="U146" i="7"/>
  <c r="AJ404" i="9" l="1"/>
  <c r="AJ146" i="7"/>
  <c r="AI217" i="7"/>
  <c r="AJ217" i="7"/>
  <c r="AI146" i="7"/>
  <c r="AM146" i="7" s="1"/>
  <c r="AI404" i="9"/>
  <c r="B403" i="9"/>
  <c r="B68" i="9"/>
  <c r="B18" i="9"/>
  <c r="B17" i="9"/>
  <c r="B16" i="9"/>
  <c r="B23" i="9"/>
  <c r="B226" i="7"/>
  <c r="AQ146" i="7" l="1"/>
  <c r="AO146" i="7"/>
  <c r="AF37" i="1"/>
  <c r="AE37" i="1"/>
  <c r="AD37" i="1"/>
  <c r="AB37" i="1"/>
  <c r="AA37" i="1"/>
  <c r="Z37" i="1"/>
  <c r="Y37" i="1"/>
  <c r="X37" i="1"/>
  <c r="W37" i="1"/>
  <c r="V37" i="1"/>
  <c r="U37" i="1"/>
  <c r="AF148" i="1"/>
  <c r="AE148" i="1"/>
  <c r="AD148" i="1"/>
  <c r="AC148" i="1"/>
  <c r="AB148" i="1"/>
  <c r="AA148" i="1"/>
  <c r="Z148" i="1"/>
  <c r="Y148" i="1"/>
  <c r="X148" i="1"/>
  <c r="W148" i="1"/>
  <c r="V148" i="1"/>
  <c r="U148" i="1"/>
  <c r="AF242" i="1"/>
  <c r="AE242" i="1"/>
  <c r="AD242" i="1"/>
  <c r="AC242" i="1"/>
  <c r="AB242" i="1"/>
  <c r="AA242" i="1"/>
  <c r="Z242" i="1"/>
  <c r="Y242" i="1"/>
  <c r="X242" i="1"/>
  <c r="W242" i="1"/>
  <c r="V242" i="1"/>
  <c r="U242" i="1"/>
  <c r="X9" i="1"/>
  <c r="AI226" i="7" l="1"/>
  <c r="AO226" i="7" s="1"/>
  <c r="AJ226" i="7"/>
  <c r="AH242" i="1"/>
  <c r="S242" i="1"/>
  <c r="AG37" i="1"/>
  <c r="AK37" i="1" s="1"/>
  <c r="S37" i="1"/>
  <c r="AG148" i="1"/>
  <c r="S148" i="1"/>
  <c r="AI68" i="9"/>
  <c r="AJ68" i="9"/>
  <c r="U403" i="9"/>
  <c r="U68" i="9"/>
  <c r="AJ18" i="9"/>
  <c r="U18" i="9"/>
  <c r="AI23" i="9"/>
  <c r="U23" i="9"/>
  <c r="AJ17" i="9"/>
  <c r="U17" i="9"/>
  <c r="AI16" i="9"/>
  <c r="U16" i="9"/>
  <c r="AJ91" i="6"/>
  <c r="AI91" i="6"/>
  <c r="U226" i="7"/>
  <c r="U91" i="6"/>
  <c r="AG242" i="1" l="1"/>
  <c r="AO242" i="1" s="1"/>
  <c r="AJ403" i="9"/>
  <c r="AI403" i="9"/>
  <c r="AH37" i="1"/>
  <c r="AH148" i="1"/>
  <c r="AJ23" i="9"/>
  <c r="AJ16" i="9"/>
  <c r="AI18" i="9"/>
  <c r="AU18" i="9" s="1"/>
  <c r="AI17" i="9"/>
  <c r="AQ17" i="9" s="1"/>
  <c r="AQ226" i="7"/>
  <c r="AM226" i="7"/>
  <c r="AS23" i="9"/>
  <c r="AU23" i="9"/>
  <c r="AQ23" i="9"/>
  <c r="AO23" i="9"/>
  <c r="AN91" i="6"/>
  <c r="AP91" i="6"/>
  <c r="AR91" i="6"/>
  <c r="AT91" i="6"/>
  <c r="AS16" i="9"/>
  <c r="AQ16" i="9"/>
  <c r="AU16" i="9"/>
  <c r="AO16" i="9"/>
  <c r="X20" i="1"/>
  <c r="X19" i="1"/>
  <c r="X18" i="1"/>
  <c r="X17" i="1"/>
  <c r="X16" i="1"/>
  <c r="X15" i="1"/>
  <c r="X14" i="1"/>
  <c r="X13" i="1"/>
  <c r="X12" i="1"/>
  <c r="X11" i="1"/>
  <c r="X10" i="1"/>
  <c r="W9" i="1"/>
  <c r="AO18" i="9" l="1"/>
  <c r="AQ18" i="9"/>
  <c r="AU17" i="9"/>
  <c r="AS18" i="9"/>
  <c r="AS17" i="9"/>
  <c r="AO17" i="9"/>
  <c r="B30" i="18"/>
  <c r="B297" i="9" l="1"/>
  <c r="B85" i="9"/>
  <c r="B223" i="9"/>
  <c r="B47" i="7"/>
  <c r="B54" i="7"/>
  <c r="B178" i="7"/>
  <c r="B137" i="6"/>
  <c r="T30" i="18" l="1"/>
  <c r="B124" i="6"/>
  <c r="AG64" i="7" l="1"/>
  <c r="Z64" i="7"/>
  <c r="AF64" i="7"/>
  <c r="AB64" i="7"/>
  <c r="AD64" i="7"/>
  <c r="AH64" i="7"/>
  <c r="AA64" i="7"/>
  <c r="AE64" i="7"/>
  <c r="Y64" i="7"/>
  <c r="AC64" i="7"/>
  <c r="X64" i="7"/>
  <c r="AJ198" i="7"/>
  <c r="AI198" i="7"/>
  <c r="AJ223" i="9"/>
  <c r="AI223" i="9"/>
  <c r="U297" i="9"/>
  <c r="U223" i="9"/>
  <c r="U85" i="9"/>
  <c r="U47" i="7"/>
  <c r="AJ137" i="6"/>
  <c r="AI137" i="6"/>
  <c r="AJ114" i="6"/>
  <c r="AI114" i="6"/>
  <c r="U178" i="7"/>
  <c r="U54" i="7"/>
  <c r="U198" i="7"/>
  <c r="U114" i="6"/>
  <c r="B164" i="6"/>
  <c r="AJ297" i="9" l="1"/>
  <c r="AI178" i="7"/>
  <c r="AJ178" i="7"/>
  <c r="AJ85" i="9"/>
  <c r="AI85" i="9"/>
  <c r="W64" i="7"/>
  <c r="AJ54" i="7"/>
  <c r="AJ64" i="7" s="1"/>
  <c r="AI47" i="7"/>
  <c r="AJ47" i="7"/>
  <c r="T18" i="5"/>
  <c r="AI297" i="9"/>
  <c r="AO297" i="9" s="1"/>
  <c r="AI54" i="7"/>
  <c r="AI64" i="7" s="1"/>
  <c r="U124" i="6"/>
  <c r="AH18" i="5" l="1"/>
  <c r="AO18" i="5" s="1"/>
  <c r="AI18" i="5"/>
  <c r="AM47" i="7"/>
  <c r="AO47" i="7"/>
  <c r="AQ47" i="7"/>
  <c r="AJ124" i="6"/>
  <c r="AS297" i="9"/>
  <c r="AQ297" i="9"/>
  <c r="AU297" i="9"/>
  <c r="AM54" i="7"/>
  <c r="AM64" i="7" s="1"/>
  <c r="AQ54" i="7"/>
  <c r="AQ64" i="7" s="1"/>
  <c r="AO54" i="7"/>
  <c r="AO64" i="7" s="1"/>
  <c r="AO85" i="9"/>
  <c r="AS85" i="9"/>
  <c r="AU85" i="9"/>
  <c r="AQ85" i="9"/>
  <c r="AI124" i="6"/>
  <c r="AQ18" i="5" l="1"/>
  <c r="AS18" i="5"/>
  <c r="AM18" i="5"/>
  <c r="AR124" i="6"/>
  <c r="AT124" i="6"/>
  <c r="AN124" i="6"/>
  <c r="AP124" i="6"/>
  <c r="U242" i="16" l="1"/>
  <c r="U249" i="7"/>
  <c r="U171" i="6"/>
  <c r="J174" i="6"/>
  <c r="K174" i="6"/>
  <c r="L174" i="6"/>
  <c r="M174" i="6"/>
  <c r="N174" i="6"/>
  <c r="O174" i="6"/>
  <c r="P174" i="6"/>
  <c r="Q174" i="6"/>
  <c r="R174" i="6"/>
  <c r="S174" i="6"/>
  <c r="T174" i="6"/>
  <c r="V208" i="5" l="1"/>
  <c r="W208" i="5"/>
  <c r="X208" i="5"/>
  <c r="Y208" i="5"/>
  <c r="Z208" i="5"/>
  <c r="AA208" i="5"/>
  <c r="AB208" i="5"/>
  <c r="AE208" i="5"/>
  <c r="AF208" i="5"/>
  <c r="AG208" i="5"/>
  <c r="U158" i="1"/>
  <c r="V158" i="1"/>
  <c r="W158" i="1"/>
  <c r="X158" i="1"/>
  <c r="Y158" i="1"/>
  <c r="Z158" i="1"/>
  <c r="AA158" i="1"/>
  <c r="AB158" i="1"/>
  <c r="AC158" i="1"/>
  <c r="AD158" i="1"/>
  <c r="AE158" i="1"/>
  <c r="AF158" i="1"/>
  <c r="U88" i="1"/>
  <c r="V88" i="1"/>
  <c r="W88" i="1"/>
  <c r="X88" i="1"/>
  <c r="Y88" i="1"/>
  <c r="Z88" i="1"/>
  <c r="AA88" i="1"/>
  <c r="AB88" i="1"/>
  <c r="AC88" i="1"/>
  <c r="AD88" i="1"/>
  <c r="AE88" i="1"/>
  <c r="AF88" i="1"/>
  <c r="U89" i="1"/>
  <c r="V89" i="1"/>
  <c r="W89" i="1"/>
  <c r="X89" i="1"/>
  <c r="Y89" i="1"/>
  <c r="Z89" i="1"/>
  <c r="AA89" i="1"/>
  <c r="AB89" i="1"/>
  <c r="AC89" i="1"/>
  <c r="AD89" i="1"/>
  <c r="AE89" i="1"/>
  <c r="AF89" i="1"/>
  <c r="S224" i="5"/>
  <c r="R224" i="5"/>
  <c r="B146" i="6"/>
  <c r="B147" i="6"/>
  <c r="B19" i="6"/>
  <c r="B18" i="6"/>
  <c r="B333" i="9"/>
  <c r="B358" i="9"/>
  <c r="B359" i="9"/>
  <c r="B107" i="9"/>
  <c r="B161" i="16"/>
  <c r="AF211" i="5" l="1"/>
  <c r="AG211" i="5"/>
  <c r="AH88" i="1"/>
  <c r="S88" i="1"/>
  <c r="R45" i="5"/>
  <c r="S45" i="5"/>
  <c r="S89" i="1"/>
  <c r="S158" i="1"/>
  <c r="AG158" i="1"/>
  <c r="AI208" i="5"/>
  <c r="AH208" i="5"/>
  <c r="R211" i="5"/>
  <c r="S211" i="5"/>
  <c r="AF38" i="5"/>
  <c r="R38" i="5"/>
  <c r="AG38" i="5"/>
  <c r="S38" i="5"/>
  <c r="AF65" i="5"/>
  <c r="R65" i="5"/>
  <c r="R182" i="5"/>
  <c r="AG65" i="5"/>
  <c r="S65" i="5"/>
  <c r="S182" i="5"/>
  <c r="AH89" i="1"/>
  <c r="AG89" i="1"/>
  <c r="AM89" i="1" s="1"/>
  <c r="AG19" i="6"/>
  <c r="AC19" i="6"/>
  <c r="Y19" i="6"/>
  <c r="AF19" i="6"/>
  <c r="AA19" i="6"/>
  <c r="AH19" i="6"/>
  <c r="AB19" i="6"/>
  <c r="W19" i="6"/>
  <c r="AD19" i="6"/>
  <c r="Z19" i="6"/>
  <c r="AE19" i="6"/>
  <c r="X19" i="6"/>
  <c r="T208" i="5"/>
  <c r="T210" i="5"/>
  <c r="W121" i="9" l="1"/>
  <c r="AG121" i="9"/>
  <c r="AH121" i="9"/>
  <c r="AF121" i="9"/>
  <c r="AG88" i="1"/>
  <c r="AM88" i="1" s="1"/>
  <c r="AJ359" i="9"/>
  <c r="S235" i="5"/>
  <c r="R235" i="5"/>
  <c r="AI359" i="9"/>
  <c r="AH158" i="1"/>
  <c r="U161" i="16"/>
  <c r="U333" i="9"/>
  <c r="U359" i="9"/>
  <c r="U358" i="9"/>
  <c r="U107" i="9"/>
  <c r="AI19" i="6"/>
  <c r="AJ19" i="6"/>
  <c r="AB121" i="9"/>
  <c r="AC121" i="9"/>
  <c r="X121" i="9"/>
  <c r="Y121" i="9"/>
  <c r="AA121" i="9"/>
  <c r="AE121" i="9"/>
  <c r="Z121" i="9"/>
  <c r="AD121" i="9"/>
  <c r="U146" i="6"/>
  <c r="U19" i="6"/>
  <c r="U18" i="6"/>
  <c r="U147" i="6"/>
  <c r="U137" i="6"/>
  <c r="AJ333" i="9" l="1"/>
  <c r="AJ358" i="9"/>
  <c r="AI358" i="9"/>
  <c r="AI333" i="9"/>
  <c r="AJ161" i="16"/>
  <c r="AI161" i="16"/>
  <c r="AT161" i="16" s="1"/>
  <c r="AJ147" i="6"/>
  <c r="AJ146" i="6"/>
  <c r="AI146" i="6"/>
  <c r="AI147" i="6"/>
  <c r="AN19" i="6"/>
  <c r="AT19" i="6"/>
  <c r="AR19" i="6"/>
  <c r="AP19" i="6"/>
  <c r="AJ107" i="9"/>
  <c r="AJ121" i="9" s="1"/>
  <c r="AI107" i="9"/>
  <c r="AI121" i="9" s="1"/>
  <c r="AF69" i="1"/>
  <c r="AF263" i="1"/>
  <c r="AF261" i="1"/>
  <c r="AF258" i="1"/>
  <c r="AF257" i="1"/>
  <c r="AF256" i="1"/>
  <c r="AF255" i="1"/>
  <c r="AF254" i="1"/>
  <c r="AF253" i="1"/>
  <c r="AF252" i="1"/>
  <c r="AF251" i="1"/>
  <c r="AF245" i="1"/>
  <c r="AF244" i="1"/>
  <c r="AF243" i="1"/>
  <c r="AF241" i="1"/>
  <c r="AF240" i="1"/>
  <c r="AF239" i="1"/>
  <c r="AF238" i="1"/>
  <c r="AF237" i="1"/>
  <c r="AF236" i="1"/>
  <c r="AF232" i="1"/>
  <c r="AF226" i="1"/>
  <c r="AF224" i="1"/>
  <c r="AF222" i="1"/>
  <c r="AF221" i="1"/>
  <c r="AF220" i="1"/>
  <c r="AF219" i="1"/>
  <c r="AF218" i="1"/>
  <c r="AF217" i="1"/>
  <c r="AF216" i="1"/>
  <c r="AF215" i="1"/>
  <c r="AF214" i="1"/>
  <c r="AF212" i="1"/>
  <c r="AF211" i="1"/>
  <c r="AF210" i="1"/>
  <c r="AF209" i="1"/>
  <c r="AF208" i="1"/>
  <c r="AF207" i="1"/>
  <c r="AF206" i="1"/>
  <c r="AF205" i="1"/>
  <c r="AF204" i="1"/>
  <c r="AF202" i="1"/>
  <c r="AF201" i="1"/>
  <c r="AF200" i="1"/>
  <c r="AF199" i="1"/>
  <c r="AF191" i="1"/>
  <c r="AF193" i="1"/>
  <c r="AF189" i="1"/>
  <c r="AF188" i="1"/>
  <c r="AF185" i="1"/>
  <c r="AF183" i="1"/>
  <c r="AF182" i="1"/>
  <c r="AF181" i="1"/>
  <c r="AF180" i="1"/>
  <c r="AF179" i="1"/>
  <c r="AF178" i="1"/>
  <c r="AF177" i="1"/>
  <c r="AF176" i="1"/>
  <c r="AF175" i="1"/>
  <c r="AF174" i="1"/>
  <c r="AF172" i="1"/>
  <c r="AF171" i="1"/>
  <c r="AF170" i="1"/>
  <c r="AF169" i="1"/>
  <c r="AF168" i="1"/>
  <c r="AF167" i="1"/>
  <c r="AF166" i="1"/>
  <c r="AF165" i="1"/>
  <c r="AF164" i="1"/>
  <c r="AF163" i="1"/>
  <c r="AF162" i="1"/>
  <c r="AF161" i="1"/>
  <c r="AF160" i="1"/>
  <c r="AF159" i="1"/>
  <c r="AF259" i="1"/>
  <c r="AF157" i="1"/>
  <c r="AF156" i="1"/>
  <c r="AF155" i="1"/>
  <c r="AF154" i="1"/>
  <c r="AF153" i="1"/>
  <c r="AF119" i="1"/>
  <c r="AF142" i="1"/>
  <c r="AF141" i="1"/>
  <c r="AF140" i="1"/>
  <c r="AF139" i="1"/>
  <c r="AF152" i="1"/>
  <c r="AF151" i="1"/>
  <c r="AF150" i="1"/>
  <c r="AF149" i="1"/>
  <c r="AF147" i="1"/>
  <c r="AF146" i="1"/>
  <c r="AF145" i="1"/>
  <c r="AF144" i="1"/>
  <c r="AF117" i="1"/>
  <c r="AF116" i="1"/>
  <c r="AF115"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7" i="1"/>
  <c r="AF86" i="1"/>
  <c r="AF85" i="1"/>
  <c r="AF84" i="1"/>
  <c r="AF83" i="1"/>
  <c r="AF82" i="1"/>
  <c r="AF81" i="1"/>
  <c r="AF80" i="1"/>
  <c r="AF79" i="1"/>
  <c r="AF78" i="1"/>
  <c r="AF70" i="1"/>
  <c r="AF68" i="1"/>
  <c r="AF67" i="1"/>
  <c r="AF66" i="1"/>
  <c r="AF65" i="1"/>
  <c r="AF64" i="1"/>
  <c r="AF62" i="1"/>
  <c r="AF61" i="1"/>
  <c r="AF60" i="1"/>
  <c r="AF59" i="1"/>
  <c r="AF57" i="1"/>
  <c r="AF51" i="1"/>
  <c r="AF49" i="1"/>
  <c r="AF48" i="1"/>
  <c r="AF47" i="1"/>
  <c r="AF45" i="1"/>
  <c r="AF43" i="1"/>
  <c r="AF42" i="1"/>
  <c r="AF41" i="1"/>
  <c r="AF40" i="1"/>
  <c r="AF39" i="1"/>
  <c r="AF38" i="1"/>
  <c r="AF36" i="1"/>
  <c r="AF35" i="1"/>
  <c r="AF28" i="1"/>
  <c r="AF27" i="1"/>
  <c r="AF21" i="1"/>
  <c r="AF20" i="1"/>
  <c r="AF19" i="1"/>
  <c r="AF18" i="1"/>
  <c r="AF17" i="1"/>
  <c r="AF16" i="1"/>
  <c r="AF15" i="1"/>
  <c r="AF14" i="1"/>
  <c r="AF13" i="1"/>
  <c r="AF12" i="1"/>
  <c r="AF11" i="1"/>
  <c r="AF10" i="1"/>
  <c r="AF9" i="1"/>
  <c r="AE69" i="1"/>
  <c r="AE263" i="1"/>
  <c r="AE261" i="1"/>
  <c r="AE258" i="1"/>
  <c r="AE257" i="1"/>
  <c r="AE256" i="1"/>
  <c r="AE255" i="1"/>
  <c r="AE254" i="1"/>
  <c r="AE253" i="1"/>
  <c r="AE252" i="1"/>
  <c r="AE251" i="1"/>
  <c r="AE245" i="1"/>
  <c r="AE244" i="1"/>
  <c r="AE243" i="1"/>
  <c r="AE241" i="1"/>
  <c r="AE240" i="1"/>
  <c r="AE239" i="1"/>
  <c r="AE238" i="1"/>
  <c r="AE237" i="1"/>
  <c r="AE236" i="1"/>
  <c r="AE232" i="1"/>
  <c r="AE226" i="1"/>
  <c r="AE224" i="1"/>
  <c r="AE222" i="1"/>
  <c r="AE221" i="1"/>
  <c r="AE220" i="1"/>
  <c r="AE219" i="1"/>
  <c r="AE218" i="1"/>
  <c r="AE217" i="1"/>
  <c r="AE216" i="1"/>
  <c r="AE215" i="1"/>
  <c r="AE214" i="1"/>
  <c r="AE212" i="1"/>
  <c r="AE211" i="1"/>
  <c r="AE210" i="1"/>
  <c r="AE209" i="1"/>
  <c r="AE208" i="1"/>
  <c r="AE207" i="1"/>
  <c r="AE206" i="1"/>
  <c r="AE205" i="1"/>
  <c r="AE204" i="1"/>
  <c r="AE202" i="1"/>
  <c r="AE201" i="1"/>
  <c r="AE200" i="1"/>
  <c r="AE199" i="1"/>
  <c r="AE191" i="1"/>
  <c r="AE193" i="1"/>
  <c r="AE189" i="1"/>
  <c r="AE188" i="1"/>
  <c r="AE185" i="1"/>
  <c r="AE183" i="1"/>
  <c r="AE182" i="1"/>
  <c r="AE181" i="1"/>
  <c r="AE180" i="1"/>
  <c r="AE179" i="1"/>
  <c r="AE178" i="1"/>
  <c r="AE177" i="1"/>
  <c r="AE176" i="1"/>
  <c r="AE175" i="1"/>
  <c r="AE174" i="1"/>
  <c r="AE172" i="1"/>
  <c r="AE171" i="1"/>
  <c r="AE170" i="1"/>
  <c r="AE169" i="1"/>
  <c r="AE168" i="1"/>
  <c r="AE167" i="1"/>
  <c r="AE166" i="1"/>
  <c r="AE165" i="1"/>
  <c r="AE164" i="1"/>
  <c r="AE163" i="1"/>
  <c r="AE162" i="1"/>
  <c r="AE161" i="1"/>
  <c r="AE160" i="1"/>
  <c r="AE159" i="1"/>
  <c r="AE259" i="1"/>
  <c r="AE157" i="1"/>
  <c r="AE156" i="1"/>
  <c r="AE155" i="1"/>
  <c r="AE154" i="1"/>
  <c r="AE153" i="1"/>
  <c r="AK125" i="1"/>
  <c r="AK124" i="1"/>
  <c r="AK123" i="1"/>
  <c r="AK122" i="1"/>
  <c r="AK121" i="1"/>
  <c r="AK120" i="1"/>
  <c r="AE119" i="1"/>
  <c r="AE142" i="1"/>
  <c r="AE141" i="1"/>
  <c r="AE140" i="1"/>
  <c r="AE139" i="1"/>
  <c r="AE152" i="1"/>
  <c r="AE151" i="1"/>
  <c r="AE150" i="1"/>
  <c r="AE149" i="1"/>
  <c r="AE147" i="1"/>
  <c r="AE146" i="1"/>
  <c r="AE145" i="1"/>
  <c r="AE144" i="1"/>
  <c r="AE117" i="1"/>
  <c r="AE116" i="1"/>
  <c r="AE115"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7" i="1"/>
  <c r="AE86" i="1"/>
  <c r="AE85" i="1"/>
  <c r="AE84" i="1"/>
  <c r="AE83" i="1"/>
  <c r="AE82" i="1"/>
  <c r="AE81" i="1"/>
  <c r="AE80" i="1"/>
  <c r="AE79" i="1"/>
  <c r="AE78" i="1"/>
  <c r="AE70" i="1"/>
  <c r="AE68" i="1"/>
  <c r="AE67" i="1"/>
  <c r="AE66" i="1"/>
  <c r="AE65" i="1"/>
  <c r="AE64" i="1"/>
  <c r="AE62" i="1"/>
  <c r="AE61" i="1"/>
  <c r="AE60" i="1"/>
  <c r="AE59" i="1"/>
  <c r="AE57" i="1"/>
  <c r="AE51" i="1"/>
  <c r="AE49" i="1"/>
  <c r="AE48" i="1"/>
  <c r="AE47" i="1"/>
  <c r="AE45" i="1"/>
  <c r="AE43" i="1"/>
  <c r="AE42" i="1"/>
  <c r="AE41" i="1"/>
  <c r="AE40" i="1"/>
  <c r="AE39" i="1"/>
  <c r="AE38" i="1"/>
  <c r="AE36" i="1"/>
  <c r="AE35" i="1"/>
  <c r="AE28" i="1"/>
  <c r="AE27" i="1"/>
  <c r="AE21" i="1"/>
  <c r="AE20" i="1"/>
  <c r="AE19" i="1"/>
  <c r="AE18" i="1"/>
  <c r="AE17" i="1"/>
  <c r="AE16" i="1"/>
  <c r="AE15" i="1"/>
  <c r="AE14" i="1"/>
  <c r="AE13" i="1"/>
  <c r="AE12" i="1"/>
  <c r="AE11" i="1"/>
  <c r="AE10" i="1"/>
  <c r="AE9" i="1"/>
  <c r="AF72" i="1" l="1"/>
  <c r="R72" i="1"/>
  <c r="AE195" i="1"/>
  <c r="Q195" i="1"/>
  <c r="Q281" i="1"/>
  <c r="R266" i="1"/>
  <c r="AF266" i="1"/>
  <c r="AE72" i="1"/>
  <c r="Q72" i="1"/>
  <c r="Q266" i="1"/>
  <c r="AE266" i="1"/>
  <c r="R281" i="1"/>
  <c r="AN161" i="16"/>
  <c r="AP161" i="16"/>
  <c r="AR161" i="16"/>
  <c r="AK195" i="1"/>
  <c r="AU107" i="9"/>
  <c r="AS107" i="9"/>
  <c r="AQ107" i="9"/>
  <c r="AO107" i="9"/>
  <c r="AF195" i="1"/>
  <c r="R195" i="1"/>
  <c r="Q290" i="1"/>
  <c r="R290" i="1"/>
  <c r="W36" i="1"/>
  <c r="B39" i="16" l="1"/>
  <c r="B209" i="9"/>
  <c r="B352" i="9"/>
  <c r="B46" i="7"/>
  <c r="B172" i="7"/>
  <c r="B142" i="7"/>
  <c r="S58" i="18" l="1"/>
  <c r="O58" i="18"/>
  <c r="K58" i="18"/>
  <c r="R58" i="18"/>
  <c r="N58" i="18"/>
  <c r="J58" i="18"/>
  <c r="Q58" i="18"/>
  <c r="M58" i="18"/>
  <c r="I58" i="18"/>
  <c r="P58" i="18"/>
  <c r="L58" i="18"/>
  <c r="B38" i="6"/>
  <c r="AJ172" i="7" l="1"/>
  <c r="AI172" i="7"/>
  <c r="T56" i="18"/>
  <c r="T58" i="18" s="1"/>
  <c r="U39" i="16"/>
  <c r="U209" i="9"/>
  <c r="U352" i="9"/>
  <c r="U46" i="7"/>
  <c r="U172" i="7"/>
  <c r="U142" i="7"/>
  <c r="AI39" i="16" l="1"/>
  <c r="AJ142" i="7"/>
  <c r="AI142" i="7"/>
  <c r="AQ142" i="7" s="1"/>
  <c r="AJ352" i="9"/>
  <c r="AI352" i="9"/>
  <c r="AJ39" i="16"/>
  <c r="AJ209" i="9"/>
  <c r="AI209" i="9"/>
  <c r="AU209" i="9" s="1"/>
  <c r="AI46" i="7"/>
  <c r="AJ46" i="7"/>
  <c r="AM46" i="7" l="1"/>
  <c r="AO46" i="7"/>
  <c r="AQ46" i="7"/>
  <c r="AM142" i="7"/>
  <c r="AO142" i="7"/>
  <c r="AO209" i="9"/>
  <c r="AQ209" i="9"/>
  <c r="AS209" i="9"/>
  <c r="B11" i="6"/>
  <c r="T23" i="6" l="1"/>
  <c r="P23" i="6"/>
  <c r="L23" i="6"/>
  <c r="S23" i="6"/>
  <c r="K23" i="6"/>
  <c r="J23" i="6"/>
  <c r="R23" i="6"/>
  <c r="N23" i="6"/>
  <c r="O23" i="6"/>
  <c r="Q23" i="6"/>
  <c r="M23" i="6"/>
  <c r="B78" i="16"/>
  <c r="B53" i="16"/>
  <c r="I23" i="6" l="1"/>
  <c r="I238" i="16"/>
  <c r="AJ53" i="16" l="1"/>
  <c r="AI53" i="16"/>
  <c r="U236" i="16"/>
  <c r="U238" i="16" s="1"/>
  <c r="U53" i="16"/>
  <c r="U78" i="16"/>
  <c r="B312" i="9"/>
  <c r="B38" i="7"/>
  <c r="B45" i="7"/>
  <c r="U69" i="1"/>
  <c r="V69" i="1"/>
  <c r="W69" i="1"/>
  <c r="AC69" i="1"/>
  <c r="AD69" i="1"/>
  <c r="I224" i="5"/>
  <c r="J224" i="5"/>
  <c r="K224" i="5"/>
  <c r="L224" i="5"/>
  <c r="M224" i="5"/>
  <c r="N224" i="5"/>
  <c r="O224" i="5"/>
  <c r="P224" i="5"/>
  <c r="Q224" i="5"/>
  <c r="H224" i="5"/>
  <c r="W11" i="5"/>
  <c r="X11" i="5"/>
  <c r="V11" i="5"/>
  <c r="U200" i="1"/>
  <c r="V200" i="1"/>
  <c r="W200" i="1"/>
  <c r="X200" i="1"/>
  <c r="Y200" i="1"/>
  <c r="Z200" i="1"/>
  <c r="AA200" i="1"/>
  <c r="AB200" i="1"/>
  <c r="AC200" i="1"/>
  <c r="AD200" i="1"/>
  <c r="U201" i="1"/>
  <c r="V201" i="1"/>
  <c r="W201" i="1"/>
  <c r="X201" i="1"/>
  <c r="Y201" i="1"/>
  <c r="Z201" i="1"/>
  <c r="AA201" i="1"/>
  <c r="AB201" i="1"/>
  <c r="AC201" i="1"/>
  <c r="AD201" i="1"/>
  <c r="U202" i="1"/>
  <c r="V202" i="1"/>
  <c r="W202" i="1"/>
  <c r="X202" i="1"/>
  <c r="Y202" i="1"/>
  <c r="Z202" i="1"/>
  <c r="AA202" i="1"/>
  <c r="AB202" i="1"/>
  <c r="AC202" i="1"/>
  <c r="AD202" i="1"/>
  <c r="U204" i="1"/>
  <c r="V204" i="1"/>
  <c r="W204" i="1"/>
  <c r="X204" i="1"/>
  <c r="Y204" i="1"/>
  <c r="Z204" i="1"/>
  <c r="AA204" i="1"/>
  <c r="AB204" i="1"/>
  <c r="AC204" i="1"/>
  <c r="AD204" i="1"/>
  <c r="U205" i="1"/>
  <c r="V205" i="1"/>
  <c r="W205" i="1"/>
  <c r="X205" i="1"/>
  <c r="Y205" i="1"/>
  <c r="Z205" i="1"/>
  <c r="AA205" i="1"/>
  <c r="AB205" i="1"/>
  <c r="AC205" i="1"/>
  <c r="AD205" i="1"/>
  <c r="U206" i="1"/>
  <c r="V206" i="1"/>
  <c r="W206" i="1"/>
  <c r="X206" i="1"/>
  <c r="Y206" i="1"/>
  <c r="Z206" i="1"/>
  <c r="AA206" i="1"/>
  <c r="AB206" i="1"/>
  <c r="AC206" i="1"/>
  <c r="AD206" i="1"/>
  <c r="U207" i="1"/>
  <c r="V207" i="1"/>
  <c r="W207" i="1"/>
  <c r="X207" i="1"/>
  <c r="Y207" i="1"/>
  <c r="Z207" i="1"/>
  <c r="AA207" i="1"/>
  <c r="AB207" i="1"/>
  <c r="AC207" i="1"/>
  <c r="AD207" i="1"/>
  <c r="U208" i="1"/>
  <c r="V208" i="1"/>
  <c r="W208" i="1"/>
  <c r="X208" i="1"/>
  <c r="Y208" i="1"/>
  <c r="Z208" i="1"/>
  <c r="AA208" i="1"/>
  <c r="AB208" i="1"/>
  <c r="AC208" i="1"/>
  <c r="AD208" i="1"/>
  <c r="U209" i="1"/>
  <c r="V209" i="1"/>
  <c r="W209" i="1"/>
  <c r="X209" i="1"/>
  <c r="Y209" i="1"/>
  <c r="Z209" i="1"/>
  <c r="AA209" i="1"/>
  <c r="AB209" i="1"/>
  <c r="AC209" i="1"/>
  <c r="AD209" i="1"/>
  <c r="U210" i="1"/>
  <c r="V210" i="1"/>
  <c r="W210" i="1"/>
  <c r="X210" i="1"/>
  <c r="Y210" i="1"/>
  <c r="Z210" i="1"/>
  <c r="AA210" i="1"/>
  <c r="AB210" i="1"/>
  <c r="AC210" i="1"/>
  <c r="AD210" i="1"/>
  <c r="U211" i="1"/>
  <c r="V211" i="1"/>
  <c r="W211" i="1"/>
  <c r="X211" i="1"/>
  <c r="Y211" i="1"/>
  <c r="Z211" i="1"/>
  <c r="AA211" i="1"/>
  <c r="AB211" i="1"/>
  <c r="AC211" i="1"/>
  <c r="AD211" i="1"/>
  <c r="U212" i="1"/>
  <c r="V212" i="1"/>
  <c r="W212" i="1"/>
  <c r="X212" i="1"/>
  <c r="Y212" i="1"/>
  <c r="Z212" i="1"/>
  <c r="AA212" i="1"/>
  <c r="AB212" i="1"/>
  <c r="AC212" i="1"/>
  <c r="AD212" i="1"/>
  <c r="U214" i="1"/>
  <c r="V214" i="1"/>
  <c r="W214" i="1"/>
  <c r="X214" i="1"/>
  <c r="Y214" i="1"/>
  <c r="Z214" i="1"/>
  <c r="AA214" i="1"/>
  <c r="AB214" i="1"/>
  <c r="AC214" i="1"/>
  <c r="AD214" i="1"/>
  <c r="U215" i="1"/>
  <c r="V215" i="1"/>
  <c r="W215" i="1"/>
  <c r="X215" i="1"/>
  <c r="Y215" i="1"/>
  <c r="Z215" i="1"/>
  <c r="AA215" i="1"/>
  <c r="AB215" i="1"/>
  <c r="AC215" i="1"/>
  <c r="AD215" i="1"/>
  <c r="U216" i="1"/>
  <c r="V216" i="1"/>
  <c r="W216" i="1"/>
  <c r="X216" i="1"/>
  <c r="Y216" i="1"/>
  <c r="Z216" i="1"/>
  <c r="AA216" i="1"/>
  <c r="AB216" i="1"/>
  <c r="AC216" i="1"/>
  <c r="AD216" i="1"/>
  <c r="U217" i="1"/>
  <c r="V217" i="1"/>
  <c r="W217" i="1"/>
  <c r="X217" i="1"/>
  <c r="Y217" i="1"/>
  <c r="Z217" i="1"/>
  <c r="AA217" i="1"/>
  <c r="AB217" i="1"/>
  <c r="AC217" i="1"/>
  <c r="AD217" i="1"/>
  <c r="U218" i="1"/>
  <c r="V218" i="1"/>
  <c r="W218" i="1"/>
  <c r="X218" i="1"/>
  <c r="Y218" i="1"/>
  <c r="Z218" i="1"/>
  <c r="AA218" i="1"/>
  <c r="AB218" i="1"/>
  <c r="AC218" i="1"/>
  <c r="AD218" i="1"/>
  <c r="U219" i="1"/>
  <c r="V219" i="1"/>
  <c r="W219" i="1"/>
  <c r="X219" i="1"/>
  <c r="Y219" i="1"/>
  <c r="Z219" i="1"/>
  <c r="AA219" i="1"/>
  <c r="AB219" i="1"/>
  <c r="AC219" i="1"/>
  <c r="AD219" i="1"/>
  <c r="U220" i="1"/>
  <c r="V220" i="1"/>
  <c r="W220" i="1"/>
  <c r="X220" i="1"/>
  <c r="Y220" i="1"/>
  <c r="Z220" i="1"/>
  <c r="AA220" i="1"/>
  <c r="AB220" i="1"/>
  <c r="AC220" i="1"/>
  <c r="AD220" i="1"/>
  <c r="U221" i="1"/>
  <c r="V221" i="1"/>
  <c r="W221" i="1"/>
  <c r="X221" i="1"/>
  <c r="Y221" i="1"/>
  <c r="Z221" i="1"/>
  <c r="AA221" i="1"/>
  <c r="AB221" i="1"/>
  <c r="AC221" i="1"/>
  <c r="AD221" i="1"/>
  <c r="U222" i="1"/>
  <c r="V222" i="1"/>
  <c r="W222" i="1"/>
  <c r="X222" i="1"/>
  <c r="Y222" i="1"/>
  <c r="Z222" i="1"/>
  <c r="AA222" i="1"/>
  <c r="AB222" i="1"/>
  <c r="AC222" i="1"/>
  <c r="AD222" i="1"/>
  <c r="U224" i="1"/>
  <c r="V224" i="1"/>
  <c r="W224" i="1"/>
  <c r="X224" i="1"/>
  <c r="Y224" i="1"/>
  <c r="Z224" i="1"/>
  <c r="AA224" i="1"/>
  <c r="AB224" i="1"/>
  <c r="AC224" i="1"/>
  <c r="AD224" i="1"/>
  <c r="U226" i="1"/>
  <c r="V226" i="1"/>
  <c r="W226" i="1"/>
  <c r="X226" i="1"/>
  <c r="Y226" i="1"/>
  <c r="Z226" i="1"/>
  <c r="AA226" i="1"/>
  <c r="AB226" i="1"/>
  <c r="AC226" i="1"/>
  <c r="AD226" i="1"/>
  <c r="U232" i="1"/>
  <c r="V232" i="1"/>
  <c r="W232" i="1"/>
  <c r="X232" i="1"/>
  <c r="Y232" i="1"/>
  <c r="Z232" i="1"/>
  <c r="AA232" i="1"/>
  <c r="AB232" i="1"/>
  <c r="AC232" i="1"/>
  <c r="AD232" i="1"/>
  <c r="U236" i="1"/>
  <c r="V236" i="1"/>
  <c r="W236" i="1"/>
  <c r="X236" i="1"/>
  <c r="Y236" i="1"/>
  <c r="Z236" i="1"/>
  <c r="AA236" i="1"/>
  <c r="AB236" i="1"/>
  <c r="AC236" i="1"/>
  <c r="AD236" i="1"/>
  <c r="U237" i="1"/>
  <c r="V237" i="1"/>
  <c r="W237" i="1"/>
  <c r="X237" i="1"/>
  <c r="Y237" i="1"/>
  <c r="Z237" i="1"/>
  <c r="AA237" i="1"/>
  <c r="AB237" i="1"/>
  <c r="AC237" i="1"/>
  <c r="AD237" i="1"/>
  <c r="U238" i="1"/>
  <c r="V238" i="1"/>
  <c r="W238" i="1"/>
  <c r="X238" i="1"/>
  <c r="Y238" i="1"/>
  <c r="Z238" i="1"/>
  <c r="AA238" i="1"/>
  <c r="AB238" i="1"/>
  <c r="AC238" i="1"/>
  <c r="AD238" i="1"/>
  <c r="U239" i="1"/>
  <c r="V239" i="1"/>
  <c r="W239" i="1"/>
  <c r="X239" i="1"/>
  <c r="Y239" i="1"/>
  <c r="Z239" i="1"/>
  <c r="AA239" i="1"/>
  <c r="AB239" i="1"/>
  <c r="AC239" i="1"/>
  <c r="AD239" i="1"/>
  <c r="U240" i="1"/>
  <c r="V240" i="1"/>
  <c r="W240" i="1"/>
  <c r="X240" i="1"/>
  <c r="Y240" i="1"/>
  <c r="Z240" i="1"/>
  <c r="AA240" i="1"/>
  <c r="AB240" i="1"/>
  <c r="AC240" i="1"/>
  <c r="AD240" i="1"/>
  <c r="U241" i="1"/>
  <c r="V241" i="1"/>
  <c r="W241" i="1"/>
  <c r="X241" i="1"/>
  <c r="Y241" i="1"/>
  <c r="Z241" i="1"/>
  <c r="AA241" i="1"/>
  <c r="AB241" i="1"/>
  <c r="AC241" i="1"/>
  <c r="AD241" i="1"/>
  <c r="U243" i="1"/>
  <c r="V243" i="1"/>
  <c r="W243" i="1"/>
  <c r="X243" i="1"/>
  <c r="Y243" i="1"/>
  <c r="Z243" i="1"/>
  <c r="AA243" i="1"/>
  <c r="AB243" i="1"/>
  <c r="AC243" i="1"/>
  <c r="AD243" i="1"/>
  <c r="U244" i="1"/>
  <c r="V244" i="1"/>
  <c r="W244" i="1"/>
  <c r="X244" i="1"/>
  <c r="Y244" i="1"/>
  <c r="Z244" i="1"/>
  <c r="AA244" i="1"/>
  <c r="AB244" i="1"/>
  <c r="AC244" i="1"/>
  <c r="AD244" i="1"/>
  <c r="U245" i="1"/>
  <c r="V245" i="1"/>
  <c r="W245" i="1"/>
  <c r="X245" i="1"/>
  <c r="Y245" i="1"/>
  <c r="Z245" i="1"/>
  <c r="AA245" i="1"/>
  <c r="AB245" i="1"/>
  <c r="AC245" i="1"/>
  <c r="AD245" i="1"/>
  <c r="U251" i="1"/>
  <c r="V251" i="1"/>
  <c r="W251" i="1"/>
  <c r="X251" i="1"/>
  <c r="Y251" i="1"/>
  <c r="Z251" i="1"/>
  <c r="AA251" i="1"/>
  <c r="AB251" i="1"/>
  <c r="AC251" i="1"/>
  <c r="AD251" i="1"/>
  <c r="U252" i="1"/>
  <c r="V252" i="1"/>
  <c r="W252" i="1"/>
  <c r="X252" i="1"/>
  <c r="Y252" i="1"/>
  <c r="Z252" i="1"/>
  <c r="AA252" i="1"/>
  <c r="AB252" i="1"/>
  <c r="AC252" i="1"/>
  <c r="AD252" i="1"/>
  <c r="U253" i="1"/>
  <c r="V253" i="1"/>
  <c r="W253" i="1"/>
  <c r="X253" i="1"/>
  <c r="Y253" i="1"/>
  <c r="Z253" i="1"/>
  <c r="AA253" i="1"/>
  <c r="AB253" i="1"/>
  <c r="AC253" i="1"/>
  <c r="AD253" i="1"/>
  <c r="U254" i="1"/>
  <c r="V254" i="1"/>
  <c r="W254" i="1"/>
  <c r="X254" i="1"/>
  <c r="Y254" i="1"/>
  <c r="Z254" i="1"/>
  <c r="AA254" i="1"/>
  <c r="AB254" i="1"/>
  <c r="AC254" i="1"/>
  <c r="AD254" i="1"/>
  <c r="U255" i="1"/>
  <c r="V255" i="1"/>
  <c r="W255" i="1"/>
  <c r="X255" i="1"/>
  <c r="Y255" i="1"/>
  <c r="Z255" i="1"/>
  <c r="AA255" i="1"/>
  <c r="AB255" i="1"/>
  <c r="AC255" i="1"/>
  <c r="AD255" i="1"/>
  <c r="U256" i="1"/>
  <c r="V256" i="1"/>
  <c r="W256" i="1"/>
  <c r="X256" i="1"/>
  <c r="Y256" i="1"/>
  <c r="Z256" i="1"/>
  <c r="AA256" i="1"/>
  <c r="AB256" i="1"/>
  <c r="AC256" i="1"/>
  <c r="AD256" i="1"/>
  <c r="U257" i="1"/>
  <c r="V257" i="1"/>
  <c r="W257" i="1"/>
  <c r="X257" i="1"/>
  <c r="Y257" i="1"/>
  <c r="Z257" i="1"/>
  <c r="AA257" i="1"/>
  <c r="AB257" i="1"/>
  <c r="AC257" i="1"/>
  <c r="AD257" i="1"/>
  <c r="U258" i="1"/>
  <c r="V258" i="1"/>
  <c r="W258" i="1"/>
  <c r="X258" i="1"/>
  <c r="Y258" i="1"/>
  <c r="Z258" i="1"/>
  <c r="AA258" i="1"/>
  <c r="AB258" i="1"/>
  <c r="AC258" i="1"/>
  <c r="AD258" i="1"/>
  <c r="U261" i="1"/>
  <c r="V261" i="1"/>
  <c r="W261" i="1"/>
  <c r="X261" i="1"/>
  <c r="Y261" i="1"/>
  <c r="Z261" i="1"/>
  <c r="AA261" i="1"/>
  <c r="AB261" i="1"/>
  <c r="AC261" i="1"/>
  <c r="AD261" i="1"/>
  <c r="U263" i="1"/>
  <c r="V263" i="1"/>
  <c r="W263" i="1"/>
  <c r="X263" i="1"/>
  <c r="Y263" i="1"/>
  <c r="Z263" i="1"/>
  <c r="AA263" i="1"/>
  <c r="AB263" i="1"/>
  <c r="AC263" i="1"/>
  <c r="AD263" i="1"/>
  <c r="Z199" i="1"/>
  <c r="AA199" i="1"/>
  <c r="AB199" i="1"/>
  <c r="AC199" i="1"/>
  <c r="AD199" i="1"/>
  <c r="V199" i="1"/>
  <c r="W199" i="1"/>
  <c r="X199" i="1"/>
  <c r="Y199" i="1"/>
  <c r="U199" i="1"/>
  <c r="AD191" i="1"/>
  <c r="W191" i="1"/>
  <c r="V191" i="1"/>
  <c r="U191" i="1"/>
  <c r="AD193" i="1"/>
  <c r="AC193" i="1"/>
  <c r="AB193" i="1"/>
  <c r="AA193" i="1"/>
  <c r="Z193" i="1"/>
  <c r="Y193" i="1"/>
  <c r="X193" i="1"/>
  <c r="W193" i="1"/>
  <c r="V193" i="1"/>
  <c r="U193" i="1"/>
  <c r="AD189" i="1"/>
  <c r="AC189" i="1"/>
  <c r="AB189" i="1"/>
  <c r="AA189" i="1"/>
  <c r="Z189" i="1"/>
  <c r="Y189" i="1"/>
  <c r="X189" i="1"/>
  <c r="W189" i="1"/>
  <c r="V189" i="1"/>
  <c r="U189" i="1"/>
  <c r="AD188" i="1"/>
  <c r="AC188" i="1"/>
  <c r="AB188" i="1"/>
  <c r="AA188" i="1"/>
  <c r="Z188" i="1"/>
  <c r="Y188" i="1"/>
  <c r="X188" i="1"/>
  <c r="W188" i="1"/>
  <c r="V188" i="1"/>
  <c r="U188" i="1"/>
  <c r="AD185" i="1"/>
  <c r="AC185" i="1"/>
  <c r="W185" i="1"/>
  <c r="V185" i="1"/>
  <c r="U185" i="1"/>
  <c r="AD183" i="1"/>
  <c r="AC183" i="1"/>
  <c r="AB183" i="1"/>
  <c r="AA183" i="1"/>
  <c r="Z183" i="1"/>
  <c r="Y183" i="1"/>
  <c r="X183" i="1"/>
  <c r="W183" i="1"/>
  <c r="V183" i="1"/>
  <c r="U183" i="1"/>
  <c r="AD182" i="1"/>
  <c r="AC182" i="1"/>
  <c r="AB182" i="1"/>
  <c r="AA182" i="1"/>
  <c r="Z182" i="1"/>
  <c r="Y182" i="1"/>
  <c r="X182" i="1"/>
  <c r="W182" i="1"/>
  <c r="V182" i="1"/>
  <c r="U182" i="1"/>
  <c r="AD181" i="1"/>
  <c r="AC181" i="1"/>
  <c r="AB181" i="1"/>
  <c r="AA181" i="1"/>
  <c r="Z181" i="1"/>
  <c r="Y181" i="1"/>
  <c r="X181" i="1"/>
  <c r="W181" i="1"/>
  <c r="V181" i="1"/>
  <c r="U181" i="1"/>
  <c r="AD180" i="1"/>
  <c r="AC180" i="1"/>
  <c r="AB180" i="1"/>
  <c r="AA180" i="1"/>
  <c r="Z180" i="1"/>
  <c r="Y180" i="1"/>
  <c r="X180" i="1"/>
  <c r="W180" i="1"/>
  <c r="V180" i="1"/>
  <c r="U180" i="1"/>
  <c r="AD179" i="1"/>
  <c r="AC179" i="1"/>
  <c r="AB179" i="1"/>
  <c r="AA179" i="1"/>
  <c r="Z179" i="1"/>
  <c r="Y179" i="1"/>
  <c r="X179" i="1"/>
  <c r="W179" i="1"/>
  <c r="V179" i="1"/>
  <c r="U179" i="1"/>
  <c r="AD178" i="1"/>
  <c r="AC178" i="1"/>
  <c r="AB178" i="1"/>
  <c r="AA178" i="1"/>
  <c r="Z178" i="1"/>
  <c r="Y178" i="1"/>
  <c r="X178" i="1"/>
  <c r="W178" i="1"/>
  <c r="V178" i="1"/>
  <c r="U178" i="1"/>
  <c r="AD177" i="1"/>
  <c r="AC177" i="1"/>
  <c r="AB177" i="1"/>
  <c r="AA177" i="1"/>
  <c r="Z177" i="1"/>
  <c r="Y177" i="1"/>
  <c r="X177" i="1"/>
  <c r="W177" i="1"/>
  <c r="V177" i="1"/>
  <c r="U177" i="1"/>
  <c r="AD176" i="1"/>
  <c r="AC176" i="1"/>
  <c r="AB176" i="1"/>
  <c r="AA176" i="1"/>
  <c r="Z176" i="1"/>
  <c r="Y176" i="1"/>
  <c r="X176" i="1"/>
  <c r="W176" i="1"/>
  <c r="V176" i="1"/>
  <c r="U176" i="1"/>
  <c r="AD175" i="1"/>
  <c r="AC175" i="1"/>
  <c r="AB175" i="1"/>
  <c r="AA175" i="1"/>
  <c r="Z175" i="1"/>
  <c r="Y175" i="1"/>
  <c r="X175" i="1"/>
  <c r="W175" i="1"/>
  <c r="V175" i="1"/>
  <c r="U175" i="1"/>
  <c r="AD174" i="1"/>
  <c r="AC174" i="1"/>
  <c r="AB174" i="1"/>
  <c r="AA174" i="1"/>
  <c r="Z174" i="1"/>
  <c r="Y174" i="1"/>
  <c r="X174" i="1"/>
  <c r="W174" i="1"/>
  <c r="V174" i="1"/>
  <c r="U174" i="1"/>
  <c r="AD172" i="1"/>
  <c r="AC172" i="1"/>
  <c r="AB172" i="1"/>
  <c r="AA172" i="1"/>
  <c r="Z172" i="1"/>
  <c r="Y172" i="1"/>
  <c r="X172" i="1"/>
  <c r="W172" i="1"/>
  <c r="V172" i="1"/>
  <c r="U172" i="1"/>
  <c r="AD171" i="1"/>
  <c r="AC171" i="1"/>
  <c r="AB171" i="1"/>
  <c r="AA171" i="1"/>
  <c r="Z171" i="1"/>
  <c r="Y171" i="1"/>
  <c r="X171" i="1"/>
  <c r="W171" i="1"/>
  <c r="V171" i="1"/>
  <c r="U171" i="1"/>
  <c r="AD170" i="1"/>
  <c r="AC170" i="1"/>
  <c r="AB170" i="1"/>
  <c r="AA170" i="1"/>
  <c r="Z170" i="1"/>
  <c r="Y170" i="1"/>
  <c r="X170" i="1"/>
  <c r="W170" i="1"/>
  <c r="V170" i="1"/>
  <c r="U170" i="1"/>
  <c r="AD169" i="1"/>
  <c r="AC169" i="1"/>
  <c r="AB169" i="1"/>
  <c r="AA169" i="1"/>
  <c r="Z169" i="1"/>
  <c r="Y169" i="1"/>
  <c r="X169" i="1"/>
  <c r="W169" i="1"/>
  <c r="V169" i="1"/>
  <c r="U169" i="1"/>
  <c r="AD168" i="1"/>
  <c r="AC168" i="1"/>
  <c r="AB168" i="1"/>
  <c r="AA168" i="1"/>
  <c r="Z168" i="1"/>
  <c r="Y168" i="1"/>
  <c r="X168" i="1"/>
  <c r="W168" i="1"/>
  <c r="V168" i="1"/>
  <c r="U168" i="1"/>
  <c r="AD167" i="1"/>
  <c r="AC167" i="1"/>
  <c r="AB167" i="1"/>
  <c r="AA167" i="1"/>
  <c r="Z167" i="1"/>
  <c r="Y167" i="1"/>
  <c r="X167" i="1"/>
  <c r="W167" i="1"/>
  <c r="V167" i="1"/>
  <c r="U167" i="1"/>
  <c r="AD166" i="1"/>
  <c r="AC166" i="1"/>
  <c r="AB166" i="1"/>
  <c r="AA166" i="1"/>
  <c r="Z166" i="1"/>
  <c r="Y166" i="1"/>
  <c r="X166" i="1"/>
  <c r="W166" i="1"/>
  <c r="V166" i="1"/>
  <c r="U166" i="1"/>
  <c r="AD165" i="1"/>
  <c r="AC165" i="1"/>
  <c r="AB165" i="1"/>
  <c r="AA165" i="1"/>
  <c r="Z165" i="1"/>
  <c r="Y165" i="1"/>
  <c r="X165" i="1"/>
  <c r="W165" i="1"/>
  <c r="V165" i="1"/>
  <c r="U165" i="1"/>
  <c r="AD164" i="1"/>
  <c r="AC164" i="1"/>
  <c r="AB164" i="1"/>
  <c r="AA164" i="1"/>
  <c r="Z164" i="1"/>
  <c r="Y164" i="1"/>
  <c r="X164" i="1"/>
  <c r="W164" i="1"/>
  <c r="V164" i="1"/>
  <c r="U164" i="1"/>
  <c r="AD163" i="1"/>
  <c r="AC163" i="1"/>
  <c r="AB163" i="1"/>
  <c r="AA163" i="1"/>
  <c r="Z163" i="1"/>
  <c r="Y163" i="1"/>
  <c r="X163" i="1"/>
  <c r="W163" i="1"/>
  <c r="V163" i="1"/>
  <c r="U163" i="1"/>
  <c r="AD162" i="1"/>
  <c r="AC162" i="1"/>
  <c r="AB162" i="1"/>
  <c r="AA162" i="1"/>
  <c r="Z162" i="1"/>
  <c r="Y162" i="1"/>
  <c r="X162" i="1"/>
  <c r="W162" i="1"/>
  <c r="V162" i="1"/>
  <c r="U162" i="1"/>
  <c r="AD161" i="1"/>
  <c r="AC161" i="1"/>
  <c r="AB161" i="1"/>
  <c r="AA161" i="1"/>
  <c r="Z161" i="1"/>
  <c r="Y161" i="1"/>
  <c r="X161" i="1"/>
  <c r="W161" i="1"/>
  <c r="V161" i="1"/>
  <c r="U161" i="1"/>
  <c r="AD160" i="1"/>
  <c r="AC160" i="1"/>
  <c r="AB160" i="1"/>
  <c r="AA160" i="1"/>
  <c r="Z160" i="1"/>
  <c r="Y160" i="1"/>
  <c r="X160" i="1"/>
  <c r="W160" i="1"/>
  <c r="V160" i="1"/>
  <c r="U160" i="1"/>
  <c r="AD159" i="1"/>
  <c r="AC159" i="1"/>
  <c r="AB159" i="1"/>
  <c r="AA159" i="1"/>
  <c r="Z159" i="1"/>
  <c r="Y159" i="1"/>
  <c r="X159" i="1"/>
  <c r="W159" i="1"/>
  <c r="V159" i="1"/>
  <c r="U159" i="1"/>
  <c r="AD259" i="1"/>
  <c r="AC259" i="1"/>
  <c r="AB259" i="1"/>
  <c r="AA259" i="1"/>
  <c r="Z259" i="1"/>
  <c r="Y259" i="1"/>
  <c r="X259" i="1"/>
  <c r="W259" i="1"/>
  <c r="V259" i="1"/>
  <c r="U259" i="1"/>
  <c r="AD157" i="1"/>
  <c r="AC157" i="1"/>
  <c r="AB157" i="1"/>
  <c r="AA157" i="1"/>
  <c r="Z157" i="1"/>
  <c r="Y157" i="1"/>
  <c r="X157" i="1"/>
  <c r="W157" i="1"/>
  <c r="V157" i="1"/>
  <c r="U157" i="1"/>
  <c r="AD156" i="1"/>
  <c r="AC156" i="1"/>
  <c r="AB156" i="1"/>
  <c r="AA156" i="1"/>
  <c r="Z156" i="1"/>
  <c r="Y156" i="1"/>
  <c r="X156" i="1"/>
  <c r="W156" i="1"/>
  <c r="V156" i="1"/>
  <c r="U156" i="1"/>
  <c r="AD155" i="1"/>
  <c r="AC155" i="1"/>
  <c r="AB155" i="1"/>
  <c r="AA155" i="1"/>
  <c r="Z155" i="1"/>
  <c r="Y155" i="1"/>
  <c r="X155" i="1"/>
  <c r="W155" i="1"/>
  <c r="V155" i="1"/>
  <c r="U155" i="1"/>
  <c r="AD154" i="1"/>
  <c r="AC154" i="1"/>
  <c r="AB154" i="1"/>
  <c r="AA154" i="1"/>
  <c r="Z154" i="1"/>
  <c r="Y154" i="1"/>
  <c r="X154" i="1"/>
  <c r="W154" i="1"/>
  <c r="V154" i="1"/>
  <c r="U154" i="1"/>
  <c r="AD153" i="1"/>
  <c r="AC153" i="1"/>
  <c r="AB153" i="1"/>
  <c r="AA153" i="1"/>
  <c r="Z153" i="1"/>
  <c r="Y153" i="1"/>
  <c r="X153" i="1"/>
  <c r="W153" i="1"/>
  <c r="V153" i="1"/>
  <c r="U153" i="1"/>
  <c r="AD119" i="1"/>
  <c r="AC119" i="1"/>
  <c r="AB119" i="1"/>
  <c r="AA119" i="1"/>
  <c r="Z119" i="1"/>
  <c r="Y119" i="1"/>
  <c r="X119" i="1"/>
  <c r="W119" i="1"/>
  <c r="V119" i="1"/>
  <c r="U119" i="1"/>
  <c r="AD142" i="1"/>
  <c r="AC142" i="1"/>
  <c r="AB142" i="1"/>
  <c r="AA142" i="1"/>
  <c r="Z142" i="1"/>
  <c r="Y142" i="1"/>
  <c r="X142" i="1"/>
  <c r="W142" i="1"/>
  <c r="V142" i="1"/>
  <c r="U142" i="1"/>
  <c r="AD141" i="1"/>
  <c r="AC141" i="1"/>
  <c r="AB141" i="1"/>
  <c r="AA141" i="1"/>
  <c r="Z141" i="1"/>
  <c r="Y141" i="1"/>
  <c r="X141" i="1"/>
  <c r="W141" i="1"/>
  <c r="V141" i="1"/>
  <c r="U141" i="1"/>
  <c r="AD140" i="1"/>
  <c r="AC140" i="1"/>
  <c r="AB140" i="1"/>
  <c r="AA140" i="1"/>
  <c r="Z140" i="1"/>
  <c r="Y140" i="1"/>
  <c r="X140" i="1"/>
  <c r="W140" i="1"/>
  <c r="V140" i="1"/>
  <c r="U140" i="1"/>
  <c r="AD139" i="1"/>
  <c r="AC139" i="1"/>
  <c r="AB139" i="1"/>
  <c r="AA139" i="1"/>
  <c r="Z139" i="1"/>
  <c r="Y139" i="1"/>
  <c r="X139" i="1"/>
  <c r="W139" i="1"/>
  <c r="V139" i="1"/>
  <c r="U139" i="1"/>
  <c r="AD152" i="1"/>
  <c r="AC152" i="1"/>
  <c r="AB152" i="1"/>
  <c r="AA152" i="1"/>
  <c r="Z152" i="1"/>
  <c r="Y152" i="1"/>
  <c r="X152" i="1"/>
  <c r="W152" i="1"/>
  <c r="V152" i="1"/>
  <c r="U152" i="1"/>
  <c r="AD151" i="1"/>
  <c r="AC151" i="1"/>
  <c r="AB151" i="1"/>
  <c r="AA151" i="1"/>
  <c r="Z151" i="1"/>
  <c r="Y151" i="1"/>
  <c r="X151" i="1"/>
  <c r="W151" i="1"/>
  <c r="V151" i="1"/>
  <c r="U151" i="1"/>
  <c r="AD150" i="1"/>
  <c r="AC150" i="1"/>
  <c r="AB150" i="1"/>
  <c r="AA150" i="1"/>
  <c r="Z150" i="1"/>
  <c r="Y150" i="1"/>
  <c r="X150" i="1"/>
  <c r="W150" i="1"/>
  <c r="V150" i="1"/>
  <c r="U150" i="1"/>
  <c r="AD149" i="1"/>
  <c r="AC149" i="1"/>
  <c r="AB149" i="1"/>
  <c r="AA149" i="1"/>
  <c r="Z149" i="1"/>
  <c r="Y149" i="1"/>
  <c r="X149" i="1"/>
  <c r="W149" i="1"/>
  <c r="V149" i="1"/>
  <c r="U149" i="1"/>
  <c r="AD147" i="1"/>
  <c r="AC147" i="1"/>
  <c r="AB147" i="1"/>
  <c r="AA147" i="1"/>
  <c r="Z147" i="1"/>
  <c r="Y147" i="1"/>
  <c r="X147" i="1"/>
  <c r="W147" i="1"/>
  <c r="V147" i="1"/>
  <c r="U147" i="1"/>
  <c r="AD146" i="1"/>
  <c r="AC146" i="1"/>
  <c r="AB146" i="1"/>
  <c r="AA146" i="1"/>
  <c r="Z146" i="1"/>
  <c r="Y146" i="1"/>
  <c r="X146" i="1"/>
  <c r="W146" i="1"/>
  <c r="V146" i="1"/>
  <c r="U146" i="1"/>
  <c r="AD145" i="1"/>
  <c r="AC145" i="1"/>
  <c r="AB145" i="1"/>
  <c r="AA145" i="1"/>
  <c r="Z145" i="1"/>
  <c r="Y145" i="1"/>
  <c r="X145" i="1"/>
  <c r="W145" i="1"/>
  <c r="V145" i="1"/>
  <c r="U145" i="1"/>
  <c r="AD144" i="1"/>
  <c r="AC144" i="1"/>
  <c r="AB144" i="1"/>
  <c r="AA144" i="1"/>
  <c r="Z144" i="1"/>
  <c r="Y144" i="1"/>
  <c r="X144" i="1"/>
  <c r="W144" i="1"/>
  <c r="V144" i="1"/>
  <c r="U144" i="1"/>
  <c r="AD117" i="1"/>
  <c r="AC117" i="1"/>
  <c r="AB117" i="1"/>
  <c r="AA117" i="1"/>
  <c r="Z117" i="1"/>
  <c r="Y117" i="1"/>
  <c r="X117" i="1"/>
  <c r="W117" i="1"/>
  <c r="V117" i="1"/>
  <c r="U117" i="1"/>
  <c r="AD116" i="1"/>
  <c r="AC116" i="1"/>
  <c r="AB116" i="1"/>
  <c r="AA116" i="1"/>
  <c r="Z116" i="1"/>
  <c r="Y116" i="1"/>
  <c r="X116" i="1"/>
  <c r="W116" i="1"/>
  <c r="V116" i="1"/>
  <c r="U116" i="1"/>
  <c r="AD115" i="1"/>
  <c r="AC115" i="1"/>
  <c r="AB115" i="1"/>
  <c r="AA115" i="1"/>
  <c r="Z115" i="1"/>
  <c r="Y115" i="1"/>
  <c r="X115" i="1"/>
  <c r="W115" i="1"/>
  <c r="V115" i="1"/>
  <c r="U115" i="1"/>
  <c r="AD113" i="1"/>
  <c r="AC113" i="1"/>
  <c r="AB113" i="1"/>
  <c r="AA113" i="1"/>
  <c r="Z113" i="1"/>
  <c r="Y113" i="1"/>
  <c r="X113" i="1"/>
  <c r="W113" i="1"/>
  <c r="V113" i="1"/>
  <c r="U113" i="1"/>
  <c r="AD112" i="1"/>
  <c r="AC112" i="1"/>
  <c r="AB112" i="1"/>
  <c r="AA112" i="1"/>
  <c r="Z112" i="1"/>
  <c r="Y112" i="1"/>
  <c r="X112" i="1"/>
  <c r="W112" i="1"/>
  <c r="V112" i="1"/>
  <c r="U112" i="1"/>
  <c r="AD111" i="1"/>
  <c r="AC111" i="1"/>
  <c r="AB111" i="1"/>
  <c r="AA111" i="1"/>
  <c r="Z111" i="1"/>
  <c r="Y111" i="1"/>
  <c r="X111" i="1"/>
  <c r="W111" i="1"/>
  <c r="V111" i="1"/>
  <c r="U111" i="1"/>
  <c r="AD110" i="1"/>
  <c r="AC110" i="1"/>
  <c r="AB110" i="1"/>
  <c r="AA110" i="1"/>
  <c r="Z110" i="1"/>
  <c r="Y110" i="1"/>
  <c r="X110" i="1"/>
  <c r="W110" i="1"/>
  <c r="V110" i="1"/>
  <c r="U110" i="1"/>
  <c r="AD109" i="1"/>
  <c r="AC109" i="1"/>
  <c r="AB109" i="1"/>
  <c r="AA109" i="1"/>
  <c r="Z109" i="1"/>
  <c r="Y109" i="1"/>
  <c r="X109" i="1"/>
  <c r="W109" i="1"/>
  <c r="V109" i="1"/>
  <c r="U109" i="1"/>
  <c r="AD108" i="1"/>
  <c r="AC108" i="1"/>
  <c r="AB108" i="1"/>
  <c r="AA108" i="1"/>
  <c r="Z108" i="1"/>
  <c r="Y108" i="1"/>
  <c r="X108" i="1"/>
  <c r="W108" i="1"/>
  <c r="V108" i="1"/>
  <c r="U108" i="1"/>
  <c r="AD107" i="1"/>
  <c r="AC107" i="1"/>
  <c r="AB107" i="1"/>
  <c r="AA107" i="1"/>
  <c r="Z107" i="1"/>
  <c r="Y107" i="1"/>
  <c r="X107" i="1"/>
  <c r="W107" i="1"/>
  <c r="V107" i="1"/>
  <c r="U107" i="1"/>
  <c r="AD106" i="1"/>
  <c r="AC106" i="1"/>
  <c r="AB106" i="1"/>
  <c r="AA106" i="1"/>
  <c r="Z106" i="1"/>
  <c r="Y106" i="1"/>
  <c r="X106" i="1"/>
  <c r="W106" i="1"/>
  <c r="V106" i="1"/>
  <c r="U106" i="1"/>
  <c r="AD105" i="1"/>
  <c r="AC105" i="1"/>
  <c r="AB105" i="1"/>
  <c r="AA105" i="1"/>
  <c r="Z105" i="1"/>
  <c r="Y105" i="1"/>
  <c r="X105" i="1"/>
  <c r="W105" i="1"/>
  <c r="V105" i="1"/>
  <c r="U105" i="1"/>
  <c r="AD104" i="1"/>
  <c r="AC104" i="1"/>
  <c r="AB104" i="1"/>
  <c r="AA104" i="1"/>
  <c r="Z104" i="1"/>
  <c r="Y104" i="1"/>
  <c r="X104" i="1"/>
  <c r="W104" i="1"/>
  <c r="V104" i="1"/>
  <c r="U104" i="1"/>
  <c r="AD103" i="1"/>
  <c r="AC103" i="1"/>
  <c r="AB103" i="1"/>
  <c r="AA103" i="1"/>
  <c r="Z103" i="1"/>
  <c r="Y103" i="1"/>
  <c r="X103" i="1"/>
  <c r="W103" i="1"/>
  <c r="V103" i="1"/>
  <c r="U103" i="1"/>
  <c r="AD102" i="1"/>
  <c r="AC102" i="1"/>
  <c r="AB102" i="1"/>
  <c r="AA102" i="1"/>
  <c r="Z102" i="1"/>
  <c r="Y102" i="1"/>
  <c r="X102" i="1"/>
  <c r="W102" i="1"/>
  <c r="V102" i="1"/>
  <c r="U102" i="1"/>
  <c r="AD101" i="1"/>
  <c r="AC101" i="1"/>
  <c r="AB101" i="1"/>
  <c r="AA101" i="1"/>
  <c r="Z101" i="1"/>
  <c r="Y101" i="1"/>
  <c r="X101" i="1"/>
  <c r="W101" i="1"/>
  <c r="V101" i="1"/>
  <c r="U101" i="1"/>
  <c r="AD100" i="1"/>
  <c r="AC100" i="1"/>
  <c r="AB100" i="1"/>
  <c r="AA100" i="1"/>
  <c r="Z100" i="1"/>
  <c r="Y100" i="1"/>
  <c r="X100" i="1"/>
  <c r="W100" i="1"/>
  <c r="V100" i="1"/>
  <c r="U100" i="1"/>
  <c r="AD99" i="1"/>
  <c r="AC99" i="1"/>
  <c r="AB99" i="1"/>
  <c r="AA99" i="1"/>
  <c r="Z99" i="1"/>
  <c r="Y99" i="1"/>
  <c r="X99" i="1"/>
  <c r="W99" i="1"/>
  <c r="V99" i="1"/>
  <c r="U99" i="1"/>
  <c r="AD98" i="1"/>
  <c r="AC98" i="1"/>
  <c r="AB98" i="1"/>
  <c r="AA98" i="1"/>
  <c r="Z98" i="1"/>
  <c r="Y98" i="1"/>
  <c r="X98" i="1"/>
  <c r="W98" i="1"/>
  <c r="V98" i="1"/>
  <c r="U98" i="1"/>
  <c r="AD97" i="1"/>
  <c r="AC97" i="1"/>
  <c r="AB97" i="1"/>
  <c r="AA97" i="1"/>
  <c r="Z97" i="1"/>
  <c r="Y97" i="1"/>
  <c r="X97" i="1"/>
  <c r="W97" i="1"/>
  <c r="V97" i="1"/>
  <c r="U97" i="1"/>
  <c r="AD96" i="1"/>
  <c r="AC96" i="1"/>
  <c r="AB96" i="1"/>
  <c r="AA96" i="1"/>
  <c r="Z96" i="1"/>
  <c r="Y96" i="1"/>
  <c r="X96" i="1"/>
  <c r="W96" i="1"/>
  <c r="V96" i="1"/>
  <c r="U96" i="1"/>
  <c r="AD95" i="1"/>
  <c r="AC95" i="1"/>
  <c r="AB95" i="1"/>
  <c r="AA95" i="1"/>
  <c r="Z95" i="1"/>
  <c r="Y95" i="1"/>
  <c r="X95" i="1"/>
  <c r="W95" i="1"/>
  <c r="V95" i="1"/>
  <c r="U95" i="1"/>
  <c r="AD94" i="1"/>
  <c r="AC94" i="1"/>
  <c r="AB94" i="1"/>
  <c r="AA94" i="1"/>
  <c r="Z94" i="1"/>
  <c r="Y94" i="1"/>
  <c r="X94" i="1"/>
  <c r="W94" i="1"/>
  <c r="V94" i="1"/>
  <c r="U94" i="1"/>
  <c r="AD93" i="1"/>
  <c r="AC93" i="1"/>
  <c r="AB93" i="1"/>
  <c r="AA93" i="1"/>
  <c r="Z93" i="1"/>
  <c r="Y93" i="1"/>
  <c r="X93" i="1"/>
  <c r="W93" i="1"/>
  <c r="V93" i="1"/>
  <c r="U93" i="1"/>
  <c r="AD92" i="1"/>
  <c r="AC92" i="1"/>
  <c r="AB92" i="1"/>
  <c r="AA92" i="1"/>
  <c r="Z92" i="1"/>
  <c r="Y92" i="1"/>
  <c r="X92" i="1"/>
  <c r="W92" i="1"/>
  <c r="V92" i="1"/>
  <c r="U92" i="1"/>
  <c r="AD91" i="1"/>
  <c r="AC91" i="1"/>
  <c r="AB91" i="1"/>
  <c r="AA91" i="1"/>
  <c r="Z91" i="1"/>
  <c r="Y91" i="1"/>
  <c r="X91" i="1"/>
  <c r="W91" i="1"/>
  <c r="V91" i="1"/>
  <c r="U91" i="1"/>
  <c r="AD90" i="1"/>
  <c r="AC90" i="1"/>
  <c r="AB90" i="1"/>
  <c r="AA90" i="1"/>
  <c r="Z90" i="1"/>
  <c r="Y90" i="1"/>
  <c r="X90" i="1"/>
  <c r="W90" i="1"/>
  <c r="V90" i="1"/>
  <c r="U90" i="1"/>
  <c r="AD87" i="1"/>
  <c r="AC87" i="1"/>
  <c r="AB87" i="1"/>
  <c r="AA87" i="1"/>
  <c r="Z87" i="1"/>
  <c r="Y87" i="1"/>
  <c r="X87" i="1"/>
  <c r="W87" i="1"/>
  <c r="V87" i="1"/>
  <c r="U87" i="1"/>
  <c r="AD86" i="1"/>
  <c r="AC86" i="1"/>
  <c r="AB86" i="1"/>
  <c r="AA86" i="1"/>
  <c r="Z86" i="1"/>
  <c r="Y86" i="1"/>
  <c r="X86" i="1"/>
  <c r="W86" i="1"/>
  <c r="V86" i="1"/>
  <c r="U86" i="1"/>
  <c r="AD85" i="1"/>
  <c r="AC85" i="1"/>
  <c r="AB85" i="1"/>
  <c r="AA85" i="1"/>
  <c r="Z85" i="1"/>
  <c r="Y85" i="1"/>
  <c r="X85" i="1"/>
  <c r="W85" i="1"/>
  <c r="V85" i="1"/>
  <c r="U85" i="1"/>
  <c r="AD84" i="1"/>
  <c r="AC84" i="1"/>
  <c r="AB84" i="1"/>
  <c r="AA84" i="1"/>
  <c r="Z84" i="1"/>
  <c r="Y84" i="1"/>
  <c r="X84" i="1"/>
  <c r="W84" i="1"/>
  <c r="V84" i="1"/>
  <c r="U84" i="1"/>
  <c r="AD83" i="1"/>
  <c r="AC83" i="1"/>
  <c r="AB83" i="1"/>
  <c r="AA83" i="1"/>
  <c r="Z83" i="1"/>
  <c r="Y83" i="1"/>
  <c r="X83" i="1"/>
  <c r="W83" i="1"/>
  <c r="V83" i="1"/>
  <c r="U83" i="1"/>
  <c r="AD82" i="1"/>
  <c r="AC82" i="1"/>
  <c r="AB82" i="1"/>
  <c r="AA82" i="1"/>
  <c r="Z82" i="1"/>
  <c r="Y82" i="1"/>
  <c r="X82" i="1"/>
  <c r="W82" i="1"/>
  <c r="V82" i="1"/>
  <c r="U82" i="1"/>
  <c r="AD81" i="1"/>
  <c r="AC81" i="1"/>
  <c r="AB81" i="1"/>
  <c r="AA81" i="1"/>
  <c r="Z81" i="1"/>
  <c r="Y81" i="1"/>
  <c r="X81" i="1"/>
  <c r="W81" i="1"/>
  <c r="V81" i="1"/>
  <c r="U81" i="1"/>
  <c r="AD80" i="1"/>
  <c r="AC80" i="1"/>
  <c r="AB80" i="1"/>
  <c r="AA80" i="1"/>
  <c r="Z80" i="1"/>
  <c r="Y80" i="1"/>
  <c r="X80" i="1"/>
  <c r="W80" i="1"/>
  <c r="V80" i="1"/>
  <c r="U80" i="1"/>
  <c r="AD79" i="1"/>
  <c r="AC79" i="1"/>
  <c r="AB79" i="1"/>
  <c r="AA79" i="1"/>
  <c r="Z79" i="1"/>
  <c r="Y79" i="1"/>
  <c r="X79" i="1"/>
  <c r="W79" i="1"/>
  <c r="V79" i="1"/>
  <c r="U79" i="1"/>
  <c r="Z78" i="1"/>
  <c r="AA78" i="1"/>
  <c r="AB78" i="1"/>
  <c r="AC78" i="1"/>
  <c r="AD78" i="1"/>
  <c r="V78" i="1"/>
  <c r="W78" i="1"/>
  <c r="X78" i="1"/>
  <c r="Y78" i="1"/>
  <c r="U78" i="1"/>
  <c r="AD70" i="1"/>
  <c r="AC70" i="1"/>
  <c r="AB70" i="1"/>
  <c r="AA70" i="1"/>
  <c r="Z70" i="1"/>
  <c r="Y70" i="1"/>
  <c r="X70" i="1"/>
  <c r="W70" i="1"/>
  <c r="V70" i="1"/>
  <c r="U70" i="1"/>
  <c r="AD68" i="1"/>
  <c r="AC68" i="1"/>
  <c r="AB68" i="1"/>
  <c r="AA68" i="1"/>
  <c r="Z68" i="1"/>
  <c r="Y68" i="1"/>
  <c r="X68" i="1"/>
  <c r="W68" i="1"/>
  <c r="V68" i="1"/>
  <c r="U68" i="1"/>
  <c r="AD67" i="1"/>
  <c r="AC67" i="1"/>
  <c r="AB67" i="1"/>
  <c r="AA67" i="1"/>
  <c r="Z67" i="1"/>
  <c r="Y67" i="1"/>
  <c r="X67" i="1"/>
  <c r="W67" i="1"/>
  <c r="V67" i="1"/>
  <c r="U67" i="1"/>
  <c r="AD66" i="1"/>
  <c r="AC66" i="1"/>
  <c r="AB66" i="1"/>
  <c r="AA66" i="1"/>
  <c r="Z66" i="1"/>
  <c r="Y66" i="1"/>
  <c r="X66" i="1"/>
  <c r="W66" i="1"/>
  <c r="V66" i="1"/>
  <c r="U66" i="1"/>
  <c r="AD65" i="1"/>
  <c r="AC65" i="1"/>
  <c r="AB65" i="1"/>
  <c r="AA65" i="1"/>
  <c r="Z65" i="1"/>
  <c r="Y65" i="1"/>
  <c r="X65" i="1"/>
  <c r="W65" i="1"/>
  <c r="V65" i="1"/>
  <c r="U65" i="1"/>
  <c r="AD64" i="1"/>
  <c r="AC64" i="1"/>
  <c r="AB64" i="1"/>
  <c r="AA64" i="1"/>
  <c r="Z64" i="1"/>
  <c r="Y64" i="1"/>
  <c r="X64" i="1"/>
  <c r="W64" i="1"/>
  <c r="V64" i="1"/>
  <c r="U64" i="1"/>
  <c r="AD62" i="1"/>
  <c r="AC62" i="1"/>
  <c r="AB62" i="1"/>
  <c r="AA62" i="1"/>
  <c r="Z62" i="1"/>
  <c r="Y62" i="1"/>
  <c r="X62" i="1"/>
  <c r="W62" i="1"/>
  <c r="V62" i="1"/>
  <c r="U62" i="1"/>
  <c r="AD61" i="1"/>
  <c r="AC61" i="1"/>
  <c r="AB61" i="1"/>
  <c r="AA61" i="1"/>
  <c r="Z61" i="1"/>
  <c r="Y61" i="1"/>
  <c r="X61" i="1"/>
  <c r="W61" i="1"/>
  <c r="V61" i="1"/>
  <c r="U61" i="1"/>
  <c r="AD60" i="1"/>
  <c r="AC60" i="1"/>
  <c r="AB60" i="1"/>
  <c r="AA60" i="1"/>
  <c r="Z60" i="1"/>
  <c r="Y60" i="1"/>
  <c r="X60" i="1"/>
  <c r="W60" i="1"/>
  <c r="V60" i="1"/>
  <c r="U60" i="1"/>
  <c r="AD59" i="1"/>
  <c r="AC59" i="1"/>
  <c r="AB59" i="1"/>
  <c r="AA59" i="1"/>
  <c r="Z59" i="1"/>
  <c r="Y59" i="1"/>
  <c r="X59" i="1"/>
  <c r="W59" i="1"/>
  <c r="V59" i="1"/>
  <c r="U59" i="1"/>
  <c r="AD57" i="1"/>
  <c r="AC57" i="1"/>
  <c r="AB57" i="1"/>
  <c r="AA57" i="1"/>
  <c r="Z57" i="1"/>
  <c r="Y57" i="1"/>
  <c r="X57" i="1"/>
  <c r="W57" i="1"/>
  <c r="V57" i="1"/>
  <c r="U57" i="1"/>
  <c r="AD51" i="1"/>
  <c r="AC51" i="1"/>
  <c r="AB51" i="1"/>
  <c r="AA51" i="1"/>
  <c r="Z51" i="1"/>
  <c r="Y51" i="1"/>
  <c r="X51" i="1"/>
  <c r="W51" i="1"/>
  <c r="V51" i="1"/>
  <c r="U51" i="1"/>
  <c r="AD49" i="1"/>
  <c r="AC49" i="1"/>
  <c r="AB49" i="1"/>
  <c r="AA49" i="1"/>
  <c r="Z49" i="1"/>
  <c r="Y49" i="1"/>
  <c r="X49" i="1"/>
  <c r="W49" i="1"/>
  <c r="V49" i="1"/>
  <c r="U49" i="1"/>
  <c r="AD48" i="1"/>
  <c r="AC48" i="1"/>
  <c r="AB48" i="1"/>
  <c r="AA48" i="1"/>
  <c r="Z48" i="1"/>
  <c r="Y48" i="1"/>
  <c r="X48" i="1"/>
  <c r="W48" i="1"/>
  <c r="V48" i="1"/>
  <c r="U48" i="1"/>
  <c r="AD47" i="1"/>
  <c r="AC47" i="1"/>
  <c r="AB47" i="1"/>
  <c r="AA47" i="1"/>
  <c r="Z47" i="1"/>
  <c r="Y47" i="1"/>
  <c r="X47" i="1"/>
  <c r="W47" i="1"/>
  <c r="V47" i="1"/>
  <c r="U47" i="1"/>
  <c r="AD45" i="1"/>
  <c r="AC45" i="1"/>
  <c r="AB45" i="1"/>
  <c r="AA45" i="1"/>
  <c r="Z45" i="1"/>
  <c r="Y45" i="1"/>
  <c r="X45" i="1"/>
  <c r="W45" i="1"/>
  <c r="V45" i="1"/>
  <c r="U45" i="1"/>
  <c r="AD43" i="1"/>
  <c r="AC43" i="1"/>
  <c r="AB43" i="1"/>
  <c r="AA43" i="1"/>
  <c r="Z43" i="1"/>
  <c r="Y43" i="1"/>
  <c r="X43" i="1"/>
  <c r="W43" i="1"/>
  <c r="V43" i="1"/>
  <c r="U43" i="1"/>
  <c r="AD42" i="1"/>
  <c r="AC42" i="1"/>
  <c r="AB42" i="1"/>
  <c r="AA42" i="1"/>
  <c r="Z42" i="1"/>
  <c r="Y42" i="1"/>
  <c r="X42" i="1"/>
  <c r="W42" i="1"/>
  <c r="V42" i="1"/>
  <c r="U42" i="1"/>
  <c r="AD41" i="1"/>
  <c r="AC41" i="1"/>
  <c r="AB41" i="1"/>
  <c r="AA41" i="1"/>
  <c r="Z41" i="1"/>
  <c r="Y41" i="1"/>
  <c r="X41" i="1"/>
  <c r="W41" i="1"/>
  <c r="V41" i="1"/>
  <c r="U41" i="1"/>
  <c r="AD40" i="1"/>
  <c r="AC40" i="1"/>
  <c r="AB40" i="1"/>
  <c r="AA40" i="1"/>
  <c r="Z40" i="1"/>
  <c r="Y40" i="1"/>
  <c r="X40" i="1"/>
  <c r="W40" i="1"/>
  <c r="V40" i="1"/>
  <c r="U40" i="1"/>
  <c r="AD39" i="1"/>
  <c r="AC39" i="1"/>
  <c r="AB39" i="1"/>
  <c r="AA39" i="1"/>
  <c r="Z39" i="1"/>
  <c r="Y39" i="1"/>
  <c r="X39" i="1"/>
  <c r="W39" i="1"/>
  <c r="V39" i="1"/>
  <c r="U39" i="1"/>
  <c r="AD38" i="1"/>
  <c r="AC38" i="1"/>
  <c r="AB38" i="1"/>
  <c r="AA38" i="1"/>
  <c r="Z38" i="1"/>
  <c r="Y38" i="1"/>
  <c r="X38" i="1"/>
  <c r="W38" i="1"/>
  <c r="V38" i="1"/>
  <c r="U38" i="1"/>
  <c r="AD36" i="1"/>
  <c r="AB36" i="1"/>
  <c r="AA36" i="1"/>
  <c r="Z36" i="1"/>
  <c r="Y36" i="1"/>
  <c r="X36" i="1"/>
  <c r="V36" i="1"/>
  <c r="U36" i="1"/>
  <c r="AD35" i="1"/>
  <c r="AB35" i="1"/>
  <c r="AA35" i="1"/>
  <c r="Z35" i="1"/>
  <c r="Y35" i="1"/>
  <c r="X35" i="1"/>
  <c r="W35" i="1"/>
  <c r="V35" i="1"/>
  <c r="U35" i="1"/>
  <c r="AD28" i="1"/>
  <c r="AB28" i="1"/>
  <c r="AA28" i="1"/>
  <c r="Z28" i="1"/>
  <c r="Y28" i="1"/>
  <c r="X28" i="1"/>
  <c r="W28" i="1"/>
  <c r="V28" i="1"/>
  <c r="U28" i="1"/>
  <c r="AD27" i="1"/>
  <c r="AB27" i="1"/>
  <c r="AA27" i="1"/>
  <c r="Z27" i="1"/>
  <c r="Y27" i="1"/>
  <c r="X27" i="1"/>
  <c r="W27" i="1"/>
  <c r="V27" i="1"/>
  <c r="U27" i="1"/>
  <c r="AD21" i="1"/>
  <c r="AB21" i="1"/>
  <c r="AA21" i="1"/>
  <c r="Z21" i="1"/>
  <c r="Y21" i="1"/>
  <c r="X21" i="1"/>
  <c r="W21" i="1"/>
  <c r="V21" i="1"/>
  <c r="U21" i="1"/>
  <c r="AD20" i="1"/>
  <c r="AB20" i="1"/>
  <c r="AA20" i="1"/>
  <c r="Z20" i="1"/>
  <c r="Y20" i="1"/>
  <c r="W20" i="1"/>
  <c r="V20" i="1"/>
  <c r="U20" i="1"/>
  <c r="AD19" i="1"/>
  <c r="AB19" i="1"/>
  <c r="AA19" i="1"/>
  <c r="Z19" i="1"/>
  <c r="Y19" i="1"/>
  <c r="W19" i="1"/>
  <c r="V19" i="1"/>
  <c r="U19" i="1"/>
  <c r="AD18" i="1"/>
  <c r="AB18" i="1"/>
  <c r="AA18" i="1"/>
  <c r="Z18" i="1"/>
  <c r="Y18" i="1"/>
  <c r="W18" i="1"/>
  <c r="V18" i="1"/>
  <c r="U18" i="1"/>
  <c r="AD17" i="1"/>
  <c r="AB17" i="1"/>
  <c r="AA17" i="1"/>
  <c r="Z17" i="1"/>
  <c r="Y17" i="1"/>
  <c r="W17" i="1"/>
  <c r="V17" i="1"/>
  <c r="U17" i="1"/>
  <c r="AD16" i="1"/>
  <c r="AB16" i="1"/>
  <c r="AA16" i="1"/>
  <c r="Z16" i="1"/>
  <c r="Y16" i="1"/>
  <c r="W16" i="1"/>
  <c r="V16" i="1"/>
  <c r="U16" i="1"/>
  <c r="AD15" i="1"/>
  <c r="AB15" i="1"/>
  <c r="AA15" i="1"/>
  <c r="Z15" i="1"/>
  <c r="Y15" i="1"/>
  <c r="W15" i="1"/>
  <c r="V15" i="1"/>
  <c r="U15" i="1"/>
  <c r="AD14" i="1"/>
  <c r="AB14" i="1"/>
  <c r="AA14" i="1"/>
  <c r="Z14" i="1"/>
  <c r="Y14" i="1"/>
  <c r="W14" i="1"/>
  <c r="V14" i="1"/>
  <c r="U14" i="1"/>
  <c r="AD13" i="1"/>
  <c r="AB13" i="1"/>
  <c r="AA13" i="1"/>
  <c r="Z13" i="1"/>
  <c r="Y13" i="1"/>
  <c r="W13" i="1"/>
  <c r="V13" i="1"/>
  <c r="U13" i="1"/>
  <c r="AD12" i="1"/>
  <c r="AB12" i="1"/>
  <c r="AA12" i="1"/>
  <c r="Z12" i="1"/>
  <c r="Y12" i="1"/>
  <c r="W12" i="1"/>
  <c r="V12" i="1"/>
  <c r="U12" i="1"/>
  <c r="AD11" i="1"/>
  <c r="AB11" i="1"/>
  <c r="AA11" i="1"/>
  <c r="Z11" i="1"/>
  <c r="Y11" i="1"/>
  <c r="W11" i="1"/>
  <c r="V11" i="1"/>
  <c r="U11" i="1"/>
  <c r="AD10" i="1"/>
  <c r="AB10" i="1"/>
  <c r="AA10" i="1"/>
  <c r="Z10" i="1"/>
  <c r="Y10" i="1"/>
  <c r="W10" i="1"/>
  <c r="V10" i="1"/>
  <c r="U10" i="1"/>
  <c r="AA9" i="1"/>
  <c r="AB9" i="1"/>
  <c r="AD9" i="1"/>
  <c r="Z9" i="1"/>
  <c r="Y9" i="1"/>
  <c r="V9" i="1"/>
  <c r="AH142" i="5" l="1"/>
  <c r="AH136" i="5"/>
  <c r="AH134" i="5"/>
  <c r="AH146" i="5"/>
  <c r="AG68" i="1"/>
  <c r="AG40" i="1"/>
  <c r="AG47" i="1"/>
  <c r="AG38" i="1"/>
  <c r="AG43" i="1"/>
  <c r="AG57" i="1"/>
  <c r="AG60" i="1"/>
  <c r="AG49" i="1"/>
  <c r="AG64" i="1"/>
  <c r="AG70" i="1"/>
  <c r="AG51" i="1"/>
  <c r="AG39" i="1"/>
  <c r="AG45" i="1"/>
  <c r="AG48" i="1"/>
  <c r="AG61" i="1"/>
  <c r="AG66" i="1"/>
  <c r="AG67" i="1"/>
  <c r="AG65" i="1"/>
  <c r="AG41" i="1"/>
  <c r="AG42" i="1"/>
  <c r="AG59" i="1"/>
  <c r="AG62" i="1"/>
  <c r="AH172" i="5"/>
  <c r="AH159" i="5"/>
  <c r="AH151" i="5"/>
  <c r="AH145" i="5"/>
  <c r="AH163" i="5"/>
  <c r="AH175" i="5"/>
  <c r="AH160" i="5"/>
  <c r="AH158" i="5"/>
  <c r="AH152" i="5"/>
  <c r="AH150" i="5"/>
  <c r="AH141" i="5"/>
  <c r="AH138" i="5"/>
  <c r="AH137" i="5"/>
  <c r="AH133" i="5"/>
  <c r="AH170" i="5"/>
  <c r="AH166" i="5"/>
  <c r="AH147" i="5"/>
  <c r="AH164" i="5"/>
  <c r="AH171" i="5"/>
  <c r="AH167" i="5"/>
  <c r="AH165" i="5"/>
  <c r="AH156" i="5"/>
  <c r="AH139" i="5"/>
  <c r="AH161" i="5"/>
  <c r="AH157" i="5"/>
  <c r="AH154" i="5"/>
  <c r="AH153" i="5"/>
  <c r="AH140" i="5"/>
  <c r="AH174" i="5"/>
  <c r="AH144" i="5"/>
  <c r="AH180" i="5"/>
  <c r="AH135" i="5"/>
  <c r="AH168" i="5"/>
  <c r="AH162" i="5"/>
  <c r="AH155" i="5"/>
  <c r="AI78" i="16"/>
  <c r="AJ78" i="16"/>
  <c r="AC211" i="5"/>
  <c r="O195" i="1"/>
  <c r="M195" i="1"/>
  <c r="S11" i="1"/>
  <c r="S13" i="1"/>
  <c r="V72" i="1"/>
  <c r="W72" i="1"/>
  <c r="AH28" i="1"/>
  <c r="S28" i="1"/>
  <c r="S41" i="1"/>
  <c r="S47" i="1"/>
  <c r="AH47" i="1"/>
  <c r="S57" i="1"/>
  <c r="AH57" i="1"/>
  <c r="S62" i="1"/>
  <c r="AH62" i="1"/>
  <c r="S67" i="1"/>
  <c r="J195" i="1"/>
  <c r="S79" i="1"/>
  <c r="S83" i="1"/>
  <c r="S87" i="1"/>
  <c r="AH93" i="1"/>
  <c r="S93" i="1"/>
  <c r="S97" i="1"/>
  <c r="S101" i="1"/>
  <c r="AH105" i="1"/>
  <c r="S105" i="1"/>
  <c r="AG109" i="1"/>
  <c r="AM109" i="1" s="1"/>
  <c r="S109" i="1"/>
  <c r="S113" i="1"/>
  <c r="AG144" i="1"/>
  <c r="S144" i="1"/>
  <c r="AG149" i="1"/>
  <c r="S149" i="1"/>
  <c r="AH139" i="1"/>
  <c r="S139" i="1"/>
  <c r="AG153" i="1"/>
  <c r="S153" i="1"/>
  <c r="S157" i="1"/>
  <c r="S161" i="1"/>
  <c r="AG161" i="1"/>
  <c r="S165" i="1"/>
  <c r="AG165" i="1"/>
  <c r="S169" i="1"/>
  <c r="AG169" i="1"/>
  <c r="S174" i="1"/>
  <c r="AG174" i="1"/>
  <c r="S178" i="1"/>
  <c r="AG178" i="1"/>
  <c r="S182" i="1"/>
  <c r="AG182" i="1"/>
  <c r="AH189" i="1"/>
  <c r="S189" i="1"/>
  <c r="J266" i="1"/>
  <c r="AB266" i="1"/>
  <c r="N281" i="1"/>
  <c r="AI35" i="5"/>
  <c r="N45" i="5"/>
  <c r="AI63" i="5"/>
  <c r="AH63" i="5"/>
  <c r="AI55" i="5"/>
  <c r="AH55" i="5"/>
  <c r="AI139" i="5"/>
  <c r="AI135" i="5"/>
  <c r="AI174" i="5"/>
  <c r="AI168" i="5"/>
  <c r="AI167" i="5"/>
  <c r="AI146" i="5"/>
  <c r="AD211" i="5"/>
  <c r="AI199" i="5"/>
  <c r="AH194" i="5"/>
  <c r="AI192" i="5"/>
  <c r="AH192" i="5"/>
  <c r="AH188" i="5"/>
  <c r="AI188" i="5"/>
  <c r="X72" i="1"/>
  <c r="J72" i="1"/>
  <c r="S263" i="1"/>
  <c r="AH263" i="1"/>
  <c r="S256" i="1"/>
  <c r="S252" i="1"/>
  <c r="AH243" i="1"/>
  <c r="S243" i="1"/>
  <c r="AH238" i="1"/>
  <c r="S238" i="1"/>
  <c r="AA266" i="1"/>
  <c r="S226" i="1"/>
  <c r="AG226" i="1"/>
  <c r="S220" i="1"/>
  <c r="AG220" i="1"/>
  <c r="S216" i="1"/>
  <c r="AG216" i="1"/>
  <c r="S211" i="1"/>
  <c r="S207" i="1"/>
  <c r="AH207" i="1"/>
  <c r="S202" i="1"/>
  <c r="AH202" i="1"/>
  <c r="M281" i="1"/>
  <c r="M45" i="5"/>
  <c r="AI54" i="5"/>
  <c r="AH54" i="5"/>
  <c r="AH187" i="5"/>
  <c r="AI187" i="5"/>
  <c r="V211" i="5"/>
  <c r="AG35" i="1"/>
  <c r="AK35" i="1" s="1"/>
  <c r="S35" i="1"/>
  <c r="Z72" i="1"/>
  <c r="L72" i="1"/>
  <c r="S36" i="1"/>
  <c r="S38" i="1"/>
  <c r="O72" i="1"/>
  <c r="S42" i="1"/>
  <c r="S48" i="1"/>
  <c r="AH48" i="1"/>
  <c r="S59" i="1"/>
  <c r="AH59" i="1"/>
  <c r="S64" i="1"/>
  <c r="AH64" i="1"/>
  <c r="S68" i="1"/>
  <c r="S80" i="1"/>
  <c r="S84" i="1"/>
  <c r="S90" i="1"/>
  <c r="AH94" i="1"/>
  <c r="S94" i="1"/>
  <c r="S98" i="1"/>
  <c r="S102" i="1"/>
  <c r="AG106" i="1"/>
  <c r="AM106" i="1" s="1"/>
  <c r="S106" i="1"/>
  <c r="AG110" i="1"/>
  <c r="AM110" i="1" s="1"/>
  <c r="S110" i="1"/>
  <c r="S115" i="1"/>
  <c r="AG145" i="1"/>
  <c r="S145" i="1"/>
  <c r="AG150" i="1"/>
  <c r="S150" i="1"/>
  <c r="AH140" i="1"/>
  <c r="S140" i="1"/>
  <c r="S119" i="1"/>
  <c r="AG154" i="1"/>
  <c r="S154" i="1"/>
  <c r="S259" i="1"/>
  <c r="AH259" i="1"/>
  <c r="S162" i="1"/>
  <c r="AH162" i="1"/>
  <c r="AH165" i="1"/>
  <c r="S166" i="1"/>
  <c r="AH166" i="1"/>
  <c r="S170" i="1"/>
  <c r="AH174" i="1"/>
  <c r="S175" i="1"/>
  <c r="S179" i="1"/>
  <c r="S183" i="1"/>
  <c r="AH183" i="1"/>
  <c r="S193" i="1"/>
  <c r="Z266" i="1"/>
  <c r="L281" i="1"/>
  <c r="AH33" i="5"/>
  <c r="AI33" i="5"/>
  <c r="L45" i="5"/>
  <c r="AI60" i="5"/>
  <c r="AH60" i="5"/>
  <c r="AI59" i="5"/>
  <c r="AI142" i="5"/>
  <c r="AI138" i="5"/>
  <c r="AI134" i="5"/>
  <c r="AI172" i="5"/>
  <c r="AI171" i="5"/>
  <c r="AI162" i="5"/>
  <c r="AI159" i="5"/>
  <c r="AI155" i="5"/>
  <c r="AI151" i="5"/>
  <c r="AI145" i="5"/>
  <c r="AI144" i="5"/>
  <c r="AA211" i="5"/>
  <c r="AB211" i="5"/>
  <c r="AH195" i="5"/>
  <c r="AI195" i="5"/>
  <c r="AI191" i="5"/>
  <c r="AH191" i="5"/>
  <c r="Y72" i="1"/>
  <c r="K72" i="1"/>
  <c r="AD72" i="1"/>
  <c r="P72" i="1"/>
  <c r="P195" i="1"/>
  <c r="P266" i="1"/>
  <c r="S261" i="1"/>
  <c r="S255" i="1"/>
  <c r="AH255" i="1"/>
  <c r="S251" i="1"/>
  <c r="AH251" i="1"/>
  <c r="AH241" i="1"/>
  <c r="S241" i="1"/>
  <c r="AH237" i="1"/>
  <c r="S237" i="1"/>
  <c r="Y266" i="1"/>
  <c r="S224" i="1"/>
  <c r="AG224" i="1"/>
  <c r="S219" i="1"/>
  <c r="S215" i="1"/>
  <c r="AH215" i="1"/>
  <c r="S210" i="1"/>
  <c r="AG210" i="1"/>
  <c r="S206" i="1"/>
  <c r="AG206" i="1"/>
  <c r="S201" i="1"/>
  <c r="AG201" i="1"/>
  <c r="K281" i="1"/>
  <c r="K45" i="5"/>
  <c r="Z211" i="5"/>
  <c r="S39" i="1"/>
  <c r="S43" i="1"/>
  <c r="AH43" i="1"/>
  <c r="S49" i="1"/>
  <c r="AH49" i="1"/>
  <c r="S60" i="1"/>
  <c r="AH60" i="1"/>
  <c r="S65" i="1"/>
  <c r="AH65" i="1"/>
  <c r="S70" i="1"/>
  <c r="AH70" i="1"/>
  <c r="AG81" i="1"/>
  <c r="AM81" i="1" s="1"/>
  <c r="S81" i="1"/>
  <c r="AH85" i="1"/>
  <c r="S85" i="1"/>
  <c r="AH91" i="1"/>
  <c r="S91" i="1"/>
  <c r="AH95" i="1"/>
  <c r="S95" i="1"/>
  <c r="AH99" i="1"/>
  <c r="S99" i="1"/>
  <c r="S103" i="1"/>
  <c r="AH107" i="1"/>
  <c r="S107" i="1"/>
  <c r="AG111" i="1"/>
  <c r="AM111" i="1" s="1"/>
  <c r="S111" i="1"/>
  <c r="S116" i="1"/>
  <c r="AG146" i="1"/>
  <c r="S146" i="1"/>
  <c r="AG151" i="1"/>
  <c r="S151" i="1"/>
  <c r="AH141" i="1"/>
  <c r="S141" i="1"/>
  <c r="AG155" i="1"/>
  <c r="S155" i="1"/>
  <c r="S159" i="1"/>
  <c r="S163" i="1"/>
  <c r="S167" i="1"/>
  <c r="S171" i="1"/>
  <c r="S176" i="1"/>
  <c r="S180" i="1"/>
  <c r="AH185" i="1"/>
  <c r="S185" i="1"/>
  <c r="AG185" i="1" s="1"/>
  <c r="AG189" i="1"/>
  <c r="O266" i="1"/>
  <c r="X266" i="1"/>
  <c r="J281" i="1"/>
  <c r="AH32" i="5"/>
  <c r="AI32" i="5"/>
  <c r="AH59" i="5"/>
  <c r="AI141" i="5"/>
  <c r="AI140" i="5"/>
  <c r="AI137" i="5"/>
  <c r="AI136" i="5"/>
  <c r="AI133" i="5"/>
  <c r="AI166" i="5"/>
  <c r="AI161" i="5"/>
  <c r="AI158" i="5"/>
  <c r="AI154" i="5"/>
  <c r="AI150" i="5"/>
  <c r="AI164" i="5"/>
  <c r="Y211" i="5"/>
  <c r="AH199" i="5"/>
  <c r="AI194" i="5"/>
  <c r="AH190" i="5"/>
  <c r="AI190" i="5"/>
  <c r="AA72" i="1"/>
  <c r="M72" i="1"/>
  <c r="AH42" i="1"/>
  <c r="N195" i="1"/>
  <c r="N266" i="1"/>
  <c r="S258" i="1"/>
  <c r="S254" i="1"/>
  <c r="AH245" i="1"/>
  <c r="S245" i="1"/>
  <c r="AH240" i="1"/>
  <c r="S240" i="1"/>
  <c r="AH236" i="1"/>
  <c r="S236" i="1"/>
  <c r="W266" i="1"/>
  <c r="S222" i="1"/>
  <c r="AG222" i="1"/>
  <c r="S218" i="1"/>
  <c r="AG218" i="1"/>
  <c r="S214" i="1"/>
  <c r="AG214" i="1"/>
  <c r="S209" i="1"/>
  <c r="AG207" i="1"/>
  <c r="S205" i="1"/>
  <c r="S200" i="1"/>
  <c r="I281" i="1"/>
  <c r="Q45" i="5"/>
  <c r="AI58" i="5"/>
  <c r="AH58" i="5"/>
  <c r="AI56" i="5"/>
  <c r="X211" i="5"/>
  <c r="S10" i="1"/>
  <c r="S15" i="1"/>
  <c r="S17" i="1"/>
  <c r="AH19" i="1"/>
  <c r="S19" i="1"/>
  <c r="AH21" i="1"/>
  <c r="S21" i="1"/>
  <c r="S40" i="1"/>
  <c r="AH40" i="1"/>
  <c r="S45" i="1"/>
  <c r="S51" i="1"/>
  <c r="AH51" i="1"/>
  <c r="S61" i="1"/>
  <c r="AH61" i="1"/>
  <c r="S66" i="1"/>
  <c r="AH66" i="1"/>
  <c r="S78" i="1"/>
  <c r="G195" i="1"/>
  <c r="AH82" i="1"/>
  <c r="S82" i="1"/>
  <c r="S86" i="1"/>
  <c r="S92" i="1"/>
  <c r="AH96" i="1"/>
  <c r="S96" i="1"/>
  <c r="AH100" i="1"/>
  <c r="S100" i="1"/>
  <c r="AH104" i="1"/>
  <c r="S104" i="1"/>
  <c r="S108" i="1"/>
  <c r="AH112" i="1"/>
  <c r="S112" i="1"/>
  <c r="AH117" i="1"/>
  <c r="S117" i="1"/>
  <c r="AG147" i="1"/>
  <c r="S147" i="1"/>
  <c r="AG152" i="1"/>
  <c r="S152" i="1"/>
  <c r="AH142" i="1"/>
  <c r="S142" i="1"/>
  <c r="S156" i="1"/>
  <c r="AG259" i="1"/>
  <c r="S160" i="1"/>
  <c r="AG162" i="1"/>
  <c r="S164" i="1"/>
  <c r="S168" i="1"/>
  <c r="S172" i="1"/>
  <c r="S177" i="1"/>
  <c r="S181" i="1"/>
  <c r="AG188" i="1"/>
  <c r="S188" i="1"/>
  <c r="G266" i="1"/>
  <c r="M266" i="1"/>
  <c r="AD266" i="1"/>
  <c r="V266" i="1"/>
  <c r="P281" i="1"/>
  <c r="P45" i="5"/>
  <c r="AI57" i="5"/>
  <c r="AH57" i="5"/>
  <c r="AI180" i="5"/>
  <c r="AI175" i="5"/>
  <c r="AI130" i="5"/>
  <c r="AI170" i="5"/>
  <c r="AI165" i="5"/>
  <c r="AI163" i="5"/>
  <c r="AI160" i="5"/>
  <c r="AI157" i="5"/>
  <c r="AI156" i="5"/>
  <c r="AI153" i="5"/>
  <c r="AI152" i="5"/>
  <c r="AI147" i="5"/>
  <c r="W211" i="5"/>
  <c r="AI206" i="5"/>
  <c r="AH206" i="5"/>
  <c r="AI193" i="5"/>
  <c r="AH193" i="5"/>
  <c r="AH189" i="5"/>
  <c r="AI189" i="5"/>
  <c r="AB72" i="1"/>
  <c r="N72" i="1"/>
  <c r="AH12" i="1"/>
  <c r="S12" i="1"/>
  <c r="AH14" i="1"/>
  <c r="S14" i="1"/>
  <c r="AG16" i="1"/>
  <c r="S16" i="1"/>
  <c r="S18" i="1"/>
  <c r="AG20" i="1"/>
  <c r="S20" i="1"/>
  <c r="AH27" i="1"/>
  <c r="S27" i="1"/>
  <c r="AH68" i="1"/>
  <c r="K195" i="1"/>
  <c r="Z195" i="1"/>
  <c r="L195" i="1"/>
  <c r="K266" i="1"/>
  <c r="L266" i="1"/>
  <c r="S257" i="1"/>
  <c r="AH257" i="1"/>
  <c r="S253" i="1"/>
  <c r="AH244" i="1"/>
  <c r="S244" i="1"/>
  <c r="AH239" i="1"/>
  <c r="S239" i="1"/>
  <c r="AC266" i="1"/>
  <c r="AH232" i="1"/>
  <c r="S232" i="1"/>
  <c r="S221" i="1"/>
  <c r="S217" i="1"/>
  <c r="S212" i="1"/>
  <c r="AG212" i="1"/>
  <c r="S208" i="1"/>
  <c r="AG208" i="1"/>
  <c r="S204" i="1"/>
  <c r="AG204" i="1"/>
  <c r="O281" i="1"/>
  <c r="AH35" i="5"/>
  <c r="AH56" i="5"/>
  <c r="AE211" i="5"/>
  <c r="T43" i="5"/>
  <c r="T45" i="5" s="1"/>
  <c r="AH130" i="5"/>
  <c r="K211" i="5"/>
  <c r="L211" i="5"/>
  <c r="P38" i="5"/>
  <c r="P65" i="5"/>
  <c r="Z38" i="5"/>
  <c r="L38" i="5"/>
  <c r="T22" i="5"/>
  <c r="AE65" i="5"/>
  <c r="Q65" i="5"/>
  <c r="T56" i="5"/>
  <c r="Q182" i="5"/>
  <c r="Q211" i="5"/>
  <c r="Y38" i="5"/>
  <c r="K38" i="5"/>
  <c r="T35" i="5"/>
  <c r="T19" i="5"/>
  <c r="AC65" i="5"/>
  <c r="O65" i="5"/>
  <c r="T63" i="5"/>
  <c r="T55" i="5"/>
  <c r="T175" i="5"/>
  <c r="T139" i="5"/>
  <c r="T135" i="5"/>
  <c r="T174" i="5"/>
  <c r="T168" i="5"/>
  <c r="T163" i="5"/>
  <c r="T160" i="5"/>
  <c r="T156" i="5"/>
  <c r="T152" i="5"/>
  <c r="T146" i="5"/>
  <c r="T125" i="5"/>
  <c r="AI120" i="5"/>
  <c r="T120" i="5"/>
  <c r="AI128" i="5"/>
  <c r="T128" i="5"/>
  <c r="T114" i="5"/>
  <c r="T109" i="5"/>
  <c r="AI103" i="5"/>
  <c r="T103" i="5"/>
  <c r="AI96" i="5"/>
  <c r="T96" i="5"/>
  <c r="T91" i="5"/>
  <c r="AI86" i="5"/>
  <c r="T86" i="5"/>
  <c r="AI79" i="5"/>
  <c r="T79" i="5"/>
  <c r="P182" i="5"/>
  <c r="T72" i="5"/>
  <c r="H182" i="5"/>
  <c r="P211" i="5"/>
  <c r="X38" i="5"/>
  <c r="T17" i="5"/>
  <c r="AB65" i="5"/>
  <c r="N65" i="5"/>
  <c r="T54" i="5"/>
  <c r="O182" i="5"/>
  <c r="O211" i="5"/>
  <c r="W38" i="5"/>
  <c r="T33" i="5"/>
  <c r="T15" i="5"/>
  <c r="T13" i="5"/>
  <c r="AA65" i="5"/>
  <c r="M65" i="5"/>
  <c r="T60" i="5"/>
  <c r="AI53" i="5"/>
  <c r="T53" i="5"/>
  <c r="T142" i="5"/>
  <c r="T138" i="5"/>
  <c r="T134" i="5"/>
  <c r="T172" i="5"/>
  <c r="T167" i="5"/>
  <c r="T162" i="5"/>
  <c r="T159" i="5"/>
  <c r="T155" i="5"/>
  <c r="T151" i="5"/>
  <c r="T145" i="5"/>
  <c r="AI124" i="5"/>
  <c r="T124" i="5"/>
  <c r="T119" i="5"/>
  <c r="T127" i="5"/>
  <c r="T113" i="5"/>
  <c r="AI108" i="5"/>
  <c r="T108" i="5"/>
  <c r="T102" i="5"/>
  <c r="T95" i="5"/>
  <c r="T89" i="5"/>
  <c r="T85" i="5"/>
  <c r="T78" i="5"/>
  <c r="N182" i="5"/>
  <c r="M211" i="5"/>
  <c r="N211" i="5"/>
  <c r="AE38" i="5"/>
  <c r="Q38" i="5"/>
  <c r="T12" i="5"/>
  <c r="Z65" i="5"/>
  <c r="L65" i="5"/>
  <c r="T52" i="5"/>
  <c r="M182" i="5"/>
  <c r="AC38" i="5"/>
  <c r="O38" i="5"/>
  <c r="T32" i="5"/>
  <c r="Y65" i="5"/>
  <c r="K65" i="5"/>
  <c r="T59" i="5"/>
  <c r="T51" i="5"/>
  <c r="T141" i="5"/>
  <c r="T137" i="5"/>
  <c r="T133" i="5"/>
  <c r="T171" i="5"/>
  <c r="T166" i="5"/>
  <c r="T161" i="5"/>
  <c r="T158" i="5"/>
  <c r="T154" i="5"/>
  <c r="T150" i="5"/>
  <c r="T144" i="5"/>
  <c r="T122" i="5"/>
  <c r="T164" i="5"/>
  <c r="T116" i="5"/>
  <c r="AI112" i="5"/>
  <c r="T112" i="5"/>
  <c r="T105" i="5"/>
  <c r="AI101" i="5"/>
  <c r="T101" i="5"/>
  <c r="T94" i="5"/>
  <c r="T88" i="5"/>
  <c r="T81" i="5"/>
  <c r="T77" i="5"/>
  <c r="L182" i="5"/>
  <c r="AB38" i="5"/>
  <c r="N38" i="5"/>
  <c r="T24" i="5"/>
  <c r="X65" i="5"/>
  <c r="J65" i="5"/>
  <c r="T58" i="5"/>
  <c r="K182" i="5"/>
  <c r="J211" i="5"/>
  <c r="H38" i="5"/>
  <c r="AA38" i="5"/>
  <c r="M38" i="5"/>
  <c r="T23" i="5"/>
  <c r="H65" i="5"/>
  <c r="W65" i="5"/>
  <c r="I65" i="5"/>
  <c r="T57" i="5"/>
  <c r="T180" i="5"/>
  <c r="T140" i="5"/>
  <c r="T136" i="5"/>
  <c r="T130" i="5"/>
  <c r="T170" i="5"/>
  <c r="T165" i="5"/>
  <c r="T157" i="5"/>
  <c r="T153" i="5"/>
  <c r="T147" i="5"/>
  <c r="T126" i="5"/>
  <c r="AI121" i="5"/>
  <c r="T121" i="5"/>
  <c r="AI129" i="5"/>
  <c r="T129" i="5"/>
  <c r="T115" i="5"/>
  <c r="AI110" i="5"/>
  <c r="T110" i="5"/>
  <c r="T104" i="5"/>
  <c r="T99" i="5"/>
  <c r="T92" i="5"/>
  <c r="T87" i="5"/>
  <c r="T80" i="5"/>
  <c r="T74" i="5"/>
  <c r="I211" i="5"/>
  <c r="AH36" i="1"/>
  <c r="AH38" i="1"/>
  <c r="AH11" i="1"/>
  <c r="AH13" i="1"/>
  <c r="AH15" i="1"/>
  <c r="AH17" i="1"/>
  <c r="AH18" i="1"/>
  <c r="AH20" i="1"/>
  <c r="AH10" i="1"/>
  <c r="AH35" i="1"/>
  <c r="AT53" i="16"/>
  <c r="AP53" i="16"/>
  <c r="AR53" i="16"/>
  <c r="AN53" i="16"/>
  <c r="AH154" i="1"/>
  <c r="AH153" i="1"/>
  <c r="AH149" i="1"/>
  <c r="AH147" i="1"/>
  <c r="AH146" i="1"/>
  <c r="AH145" i="1"/>
  <c r="AH144" i="1"/>
  <c r="AH152" i="1"/>
  <c r="AH150" i="1"/>
  <c r="AH84" i="1"/>
  <c r="AH92" i="1"/>
  <c r="AH97" i="1"/>
  <c r="AH103" i="1"/>
  <c r="AH120" i="1"/>
  <c r="AH90" i="1"/>
  <c r="AH101" i="1"/>
  <c r="AH116" i="1"/>
  <c r="AH124" i="1"/>
  <c r="AH87" i="1"/>
  <c r="AH109" i="1"/>
  <c r="AH115" i="1"/>
  <c r="AH123" i="1"/>
  <c r="AH80" i="1"/>
  <c r="AH86" i="1"/>
  <c r="AH122" i="1"/>
  <c r="AH79" i="1"/>
  <c r="AH98" i="1"/>
  <c r="AH108" i="1"/>
  <c r="AH113" i="1"/>
  <c r="AH121" i="1"/>
  <c r="AH125" i="1"/>
  <c r="AH83" i="1"/>
  <c r="AH102" i="1"/>
  <c r="AH106" i="1"/>
  <c r="AH119" i="1"/>
  <c r="W195" i="1"/>
  <c r="V195" i="1"/>
  <c r="AD195" i="1"/>
  <c r="AC195" i="1"/>
  <c r="AB195" i="1"/>
  <c r="AA195" i="1"/>
  <c r="Y195" i="1"/>
  <c r="X195" i="1"/>
  <c r="S191" i="1"/>
  <c r="AG236" i="1"/>
  <c r="AO236" i="1" s="1"/>
  <c r="S278" i="1"/>
  <c r="S274" i="1"/>
  <c r="AG98" i="1"/>
  <c r="AM98" i="1" s="1"/>
  <c r="AG102" i="1"/>
  <c r="AM102" i="1" s="1"/>
  <c r="AG104" i="1"/>
  <c r="AM104" i="1" s="1"/>
  <c r="AG108" i="1"/>
  <c r="AM108" i="1" s="1"/>
  <c r="AG142" i="1"/>
  <c r="AM142" i="1" s="1"/>
  <c r="AG119" i="1"/>
  <c r="AG123" i="1"/>
  <c r="AG125" i="1"/>
  <c r="S277" i="1"/>
  <c r="S273" i="1"/>
  <c r="AG13" i="1"/>
  <c r="AG17" i="1"/>
  <c r="AG18" i="1"/>
  <c r="AG82" i="1"/>
  <c r="AM82" i="1" s="1"/>
  <c r="AG92" i="1"/>
  <c r="AM92" i="1" s="1"/>
  <c r="AG95" i="1"/>
  <c r="AM95" i="1" s="1"/>
  <c r="AG105" i="1"/>
  <c r="AM105" i="1" s="1"/>
  <c r="AG112" i="1"/>
  <c r="AM112" i="1" s="1"/>
  <c r="AG124" i="1"/>
  <c r="S199" i="1"/>
  <c r="AG27" i="1"/>
  <c r="AK27" i="1" s="1"/>
  <c r="AG245" i="1"/>
  <c r="AO245" i="1" s="1"/>
  <c r="AG240" i="1"/>
  <c r="AO240" i="1" s="1"/>
  <c r="S276" i="1"/>
  <c r="S272" i="1"/>
  <c r="S288" i="1"/>
  <c r="AG79" i="1"/>
  <c r="AM79" i="1" s="1"/>
  <c r="AG83" i="1"/>
  <c r="AM83" i="1" s="1"/>
  <c r="AG87" i="1"/>
  <c r="AM87" i="1" s="1"/>
  <c r="AG96" i="1"/>
  <c r="AM96" i="1" s="1"/>
  <c r="AG100" i="1"/>
  <c r="AM100" i="1" s="1"/>
  <c r="AG113" i="1"/>
  <c r="AM113" i="1" s="1"/>
  <c r="AG121" i="1"/>
  <c r="S69" i="1"/>
  <c r="S279" i="1"/>
  <c r="S275" i="1"/>
  <c r="S271" i="1"/>
  <c r="S287" i="1"/>
  <c r="AG36" i="1"/>
  <c r="AK36" i="1" s="1"/>
  <c r="AG80" i="1"/>
  <c r="AM80" i="1" s="1"/>
  <c r="AG84" i="1"/>
  <c r="AM84" i="1" s="1"/>
  <c r="AG97" i="1"/>
  <c r="AM97" i="1" s="1"/>
  <c r="AG101" i="1"/>
  <c r="AM101" i="1" s="1"/>
  <c r="AG117" i="1"/>
  <c r="AM117" i="1" s="1"/>
  <c r="AI23" i="5"/>
  <c r="H45" i="5"/>
  <c r="AG238" i="1"/>
  <c r="AO238" i="1" s="1"/>
  <c r="AH101" i="5"/>
  <c r="AH120" i="5"/>
  <c r="AH124" i="5"/>
  <c r="AH96" i="5"/>
  <c r="AH108" i="5"/>
  <c r="G72" i="1"/>
  <c r="AG28" i="1"/>
  <c r="AK28" i="1" s="1"/>
  <c r="AH128" i="5"/>
  <c r="O290" i="1"/>
  <c r="K290" i="1"/>
  <c r="N290" i="1"/>
  <c r="J290" i="1"/>
  <c r="H211" i="5"/>
  <c r="G281" i="1"/>
  <c r="G290" i="1"/>
  <c r="M290" i="1"/>
  <c r="I290" i="1"/>
  <c r="P290" i="1"/>
  <c r="L290" i="1"/>
  <c r="AG85" i="1"/>
  <c r="AM85" i="1" s="1"/>
  <c r="AG11" i="1"/>
  <c r="AG86" i="1"/>
  <c r="AM86" i="1" s="1"/>
  <c r="AG90" i="1"/>
  <c r="AM90" i="1" s="1"/>
  <c r="AG103" i="1"/>
  <c r="AM103" i="1" s="1"/>
  <c r="AG116" i="1"/>
  <c r="AM116" i="1" s="1"/>
  <c r="AG120" i="1"/>
  <c r="AG122" i="1"/>
  <c r="AG115" i="1"/>
  <c r="AM115" i="1" s="1"/>
  <c r="AG15" i="1"/>
  <c r="AG19" i="1"/>
  <c r="T199" i="5"/>
  <c r="T194" i="5"/>
  <c r="T192" i="5"/>
  <c r="T190" i="5"/>
  <c r="T188" i="5"/>
  <c r="T206" i="5"/>
  <c r="T195" i="5"/>
  <c r="T193" i="5"/>
  <c r="T191" i="5"/>
  <c r="T189" i="5"/>
  <c r="AG99" i="1" l="1"/>
  <c r="AM99" i="1" s="1"/>
  <c r="AG12" i="1"/>
  <c r="AH16" i="1"/>
  <c r="AG166" i="1"/>
  <c r="AG202" i="1"/>
  <c r="AG107" i="1"/>
  <c r="AM107" i="1" s="1"/>
  <c r="AG215" i="1"/>
  <c r="AH161" i="1"/>
  <c r="AG91" i="1"/>
  <c r="AM91" i="1" s="1"/>
  <c r="AH81" i="1"/>
  <c r="AH169" i="1"/>
  <c r="AH155" i="1"/>
  <c r="AG237" i="1"/>
  <c r="AO237" i="1" s="1"/>
  <c r="Q235" i="5"/>
  <c r="P235" i="5"/>
  <c r="AG232" i="1"/>
  <c r="AH211" i="5"/>
  <c r="M235" i="5"/>
  <c r="AG140" i="1"/>
  <c r="AM140" i="1" s="1"/>
  <c r="AG244" i="1"/>
  <c r="AO244" i="1" s="1"/>
  <c r="AG93" i="1"/>
  <c r="AM93" i="1" s="1"/>
  <c r="AG14" i="1"/>
  <c r="AG94" i="1"/>
  <c r="AM94" i="1" s="1"/>
  <c r="AH111" i="1"/>
  <c r="AH103" i="5"/>
  <c r="AQ103" i="5" s="1"/>
  <c r="AH110" i="1"/>
  <c r="AG9" i="1"/>
  <c r="AG141" i="1"/>
  <c r="AM141" i="1" s="1"/>
  <c r="AH110" i="5"/>
  <c r="AS110" i="5" s="1"/>
  <c r="H235" i="5"/>
  <c r="O235" i="5"/>
  <c r="K235" i="5"/>
  <c r="AH79" i="5"/>
  <c r="AS79" i="5" s="1"/>
  <c r="AG139" i="1"/>
  <c r="AM139" i="1" s="1"/>
  <c r="AG241" i="1"/>
  <c r="AO241" i="1" s="1"/>
  <c r="N235" i="5"/>
  <c r="L235" i="5"/>
  <c r="AH112" i="5"/>
  <c r="AS112" i="5" s="1"/>
  <c r="AH43" i="5"/>
  <c r="AI43" i="5"/>
  <c r="AG239" i="1"/>
  <c r="AO239" i="1" s="1"/>
  <c r="AG21" i="1"/>
  <c r="AH226" i="1"/>
  <c r="AH178" i="1"/>
  <c r="AG243" i="1"/>
  <c r="AO243" i="1" s="1"/>
  <c r="AH151" i="1"/>
  <c r="AG255" i="1"/>
  <c r="AH208" i="1"/>
  <c r="AH87" i="5"/>
  <c r="AQ87" i="5" s="1"/>
  <c r="AI87" i="5"/>
  <c r="AH126" i="5"/>
  <c r="AM126" i="5" s="1"/>
  <c r="AI126" i="5"/>
  <c r="AH52" i="5"/>
  <c r="AM52" i="5" s="1"/>
  <c r="AQ52" i="5" s="1"/>
  <c r="AI52" i="5"/>
  <c r="AH86" i="5"/>
  <c r="AM86" i="5" s="1"/>
  <c r="AH17" i="5"/>
  <c r="AQ17" i="5" s="1"/>
  <c r="AI17" i="5"/>
  <c r="AH9" i="1"/>
  <c r="AH77" i="5"/>
  <c r="AM77" i="5" s="1"/>
  <c r="AI77" i="5"/>
  <c r="AH95" i="5"/>
  <c r="AM95" i="5" s="1"/>
  <c r="AI95" i="5"/>
  <c r="AH127" i="5"/>
  <c r="AQ127" i="5" s="1"/>
  <c r="AI127" i="5"/>
  <c r="AH204" i="1"/>
  <c r="AH172" i="1"/>
  <c r="AG172" i="1"/>
  <c r="AH160" i="1"/>
  <c r="AG160" i="1"/>
  <c r="AH209" i="1"/>
  <c r="AG209" i="1"/>
  <c r="AH224" i="1"/>
  <c r="AH182" i="1"/>
  <c r="AH252" i="1"/>
  <c r="AG252" i="1"/>
  <c r="AH188" i="1"/>
  <c r="AH12" i="5"/>
  <c r="AM12" i="5" s="1"/>
  <c r="AI12" i="5"/>
  <c r="AH92" i="5"/>
  <c r="AO92" i="5" s="1"/>
  <c r="AI92" i="5"/>
  <c r="AH115" i="5"/>
  <c r="AM115" i="5" s="1"/>
  <c r="AI115" i="5"/>
  <c r="AH122" i="5"/>
  <c r="AQ122" i="5" s="1"/>
  <c r="AI122" i="5"/>
  <c r="AH109" i="5"/>
  <c r="AM109" i="5" s="1"/>
  <c r="AI109" i="5"/>
  <c r="AH125" i="5"/>
  <c r="AM125" i="5" s="1"/>
  <c r="AI125" i="5"/>
  <c r="AH253" i="1"/>
  <c r="AG253" i="1"/>
  <c r="AH258" i="1"/>
  <c r="AG258" i="1"/>
  <c r="AH171" i="1"/>
  <c r="AG171" i="1"/>
  <c r="AH222" i="1"/>
  <c r="AH179" i="1"/>
  <c r="AG179" i="1"/>
  <c r="AH210" i="1"/>
  <c r="AH216" i="1"/>
  <c r="AH22" i="5"/>
  <c r="AS22" i="5" s="1"/>
  <c r="AI22" i="5"/>
  <c r="AH81" i="5"/>
  <c r="AQ81" i="5" s="1"/>
  <c r="AI81" i="5"/>
  <c r="AH78" i="5"/>
  <c r="AO78" i="5" s="1"/>
  <c r="AI78" i="5"/>
  <c r="AH119" i="5"/>
  <c r="AO119" i="5" s="1"/>
  <c r="AI119" i="5"/>
  <c r="AH212" i="1"/>
  <c r="AH168" i="1"/>
  <c r="AG168" i="1"/>
  <c r="U72" i="1"/>
  <c r="AH200" i="1"/>
  <c r="AG200" i="1"/>
  <c r="AH211" i="1"/>
  <c r="AG211" i="1"/>
  <c r="AH256" i="1"/>
  <c r="AG256" i="1"/>
  <c r="AH220" i="1"/>
  <c r="AH105" i="5"/>
  <c r="AS105" i="5" s="1"/>
  <c r="AI105" i="5"/>
  <c r="AH102" i="5"/>
  <c r="AQ102" i="5" s="1"/>
  <c r="AI102" i="5"/>
  <c r="AH121" i="5"/>
  <c r="AO121" i="5" s="1"/>
  <c r="AH19" i="5"/>
  <c r="AQ19" i="5" s="1"/>
  <c r="AI19" i="5"/>
  <c r="AH74" i="5"/>
  <c r="AS74" i="5" s="1"/>
  <c r="AI74" i="5"/>
  <c r="AH99" i="5"/>
  <c r="AO99" i="5" s="1"/>
  <c r="AI99" i="5"/>
  <c r="AI11" i="5"/>
  <c r="AI72" i="5"/>
  <c r="AH91" i="5"/>
  <c r="AS91" i="5" s="1"/>
  <c r="AI91" i="5"/>
  <c r="AH114" i="5"/>
  <c r="AQ114" i="5" s="1"/>
  <c r="AI114" i="5"/>
  <c r="AH266" i="1"/>
  <c r="AG183" i="1"/>
  <c r="AH156" i="1"/>
  <c r="AG156" i="1"/>
  <c r="AG263" i="1"/>
  <c r="AH167" i="1"/>
  <c r="AG167" i="1"/>
  <c r="AH214" i="1"/>
  <c r="AH67" i="1"/>
  <c r="AH201" i="1"/>
  <c r="AH88" i="5"/>
  <c r="AO88" i="5" s="1"/>
  <c r="AI88" i="5"/>
  <c r="AH85" i="5"/>
  <c r="AM85" i="5" s="1"/>
  <c r="AI85" i="5"/>
  <c r="AH181" i="1"/>
  <c r="AG181" i="1"/>
  <c r="AH193" i="1"/>
  <c r="AG193" i="1"/>
  <c r="AH175" i="1"/>
  <c r="AG175" i="1"/>
  <c r="AI211" i="5"/>
  <c r="AH41" i="1"/>
  <c r="AH80" i="5"/>
  <c r="AM80" i="5" s="1"/>
  <c r="AI80" i="5"/>
  <c r="AH104" i="5"/>
  <c r="AM104" i="5" s="1"/>
  <c r="AI104" i="5"/>
  <c r="AH51" i="5"/>
  <c r="AM51" i="5" s="1"/>
  <c r="AQ51" i="5" s="1"/>
  <c r="AI51" i="5"/>
  <c r="AH217" i="1"/>
  <c r="AG217" i="1"/>
  <c r="AH164" i="1"/>
  <c r="AG164" i="1"/>
  <c r="AH45" i="1"/>
  <c r="AH205" i="1"/>
  <c r="AG205" i="1"/>
  <c r="AH180" i="1"/>
  <c r="AG180" i="1"/>
  <c r="AH163" i="1"/>
  <c r="AG163" i="1"/>
  <c r="AG257" i="1"/>
  <c r="AH39" i="1"/>
  <c r="AH157" i="1"/>
  <c r="AG157" i="1"/>
  <c r="AH15" i="5"/>
  <c r="AS15" i="5" s="1"/>
  <c r="AI15" i="5"/>
  <c r="AI48" i="5"/>
  <c r="AH94" i="5"/>
  <c r="AM94" i="5" s="1"/>
  <c r="AI94" i="5"/>
  <c r="AH116" i="5"/>
  <c r="AM116" i="5" s="1"/>
  <c r="AI116" i="5"/>
  <c r="AH89" i="5"/>
  <c r="AM89" i="5" s="1"/>
  <c r="AI89" i="5"/>
  <c r="AH113" i="5"/>
  <c r="AS113" i="5" s="1"/>
  <c r="AI113" i="5"/>
  <c r="AH177" i="1"/>
  <c r="AG177" i="1"/>
  <c r="S195" i="1"/>
  <c r="AH218" i="1"/>
  <c r="AH261" i="1"/>
  <c r="AG261" i="1"/>
  <c r="AH206" i="1"/>
  <c r="AH24" i="5"/>
  <c r="AO24" i="5" s="1"/>
  <c r="AI24" i="5"/>
  <c r="AH13" i="5"/>
  <c r="AO13" i="5" s="1"/>
  <c r="AI13" i="5"/>
  <c r="AH221" i="1"/>
  <c r="AG221" i="1"/>
  <c r="AH199" i="1"/>
  <c r="AG199" i="1"/>
  <c r="AH254" i="1"/>
  <c r="AG254" i="1"/>
  <c r="AH176" i="1"/>
  <c r="AG176" i="1"/>
  <c r="AH159" i="1"/>
  <c r="AG159" i="1"/>
  <c r="AH219" i="1"/>
  <c r="AG219" i="1"/>
  <c r="AH170" i="1"/>
  <c r="AG170" i="1"/>
  <c r="AG251" i="1"/>
  <c r="U312" i="9"/>
  <c r="U38" i="7"/>
  <c r="U45" i="7"/>
  <c r="AS192" i="5"/>
  <c r="AO192" i="5"/>
  <c r="AM192" i="5"/>
  <c r="AQ192" i="5"/>
  <c r="AO191" i="5"/>
  <c r="AM191" i="5"/>
  <c r="AS191" i="5"/>
  <c r="AQ191" i="5"/>
  <c r="AS130" i="5"/>
  <c r="AQ130" i="5"/>
  <c r="AO130" i="5"/>
  <c r="AM130" i="5"/>
  <c r="AH48" i="5"/>
  <c r="V65" i="5"/>
  <c r="AH72" i="5"/>
  <c r="AM72" i="5" s="1"/>
  <c r="T182" i="5"/>
  <c r="AS121" i="5"/>
  <c r="AQ101" i="5"/>
  <c r="AS101" i="5"/>
  <c r="AM101" i="5"/>
  <c r="AO101" i="5"/>
  <c r="AO124" i="5"/>
  <c r="AQ124" i="5"/>
  <c r="AM124" i="5"/>
  <c r="AS124" i="5"/>
  <c r="AS96" i="5"/>
  <c r="AO96" i="5"/>
  <c r="AQ96" i="5"/>
  <c r="AM96" i="5"/>
  <c r="AS128" i="5"/>
  <c r="AO128" i="5"/>
  <c r="AQ128" i="5"/>
  <c r="AM128" i="5"/>
  <c r="AQ78" i="5"/>
  <c r="AQ108" i="5"/>
  <c r="AM108" i="5"/>
  <c r="AO108" i="5"/>
  <c r="AS108" i="5"/>
  <c r="AS120" i="5"/>
  <c r="AO120" i="5"/>
  <c r="AM120" i="5"/>
  <c r="AQ120" i="5"/>
  <c r="U195" i="1"/>
  <c r="AH78" i="1"/>
  <c r="AK72" i="1"/>
  <c r="AK292" i="1" s="1"/>
  <c r="AO232" i="1"/>
  <c r="V38" i="5"/>
  <c r="U266" i="1"/>
  <c r="U111" i="6"/>
  <c r="AG10" i="1"/>
  <c r="U176" i="7"/>
  <c r="U48" i="7"/>
  <c r="AG266" i="1" l="1"/>
  <c r="AQ22" i="5"/>
  <c r="AO87" i="5"/>
  <c r="AM112" i="5"/>
  <c r="AM17" i="5"/>
  <c r="AM22" i="5"/>
  <c r="AO86" i="5"/>
  <c r="AS86" i="5"/>
  <c r="AS125" i="5"/>
  <c r="AO127" i="5"/>
  <c r="AQ125" i="5"/>
  <c r="AS127" i="5"/>
  <c r="AQ105" i="5"/>
  <c r="AM92" i="5"/>
  <c r="AO22" i="5"/>
  <c r="AQ86" i="5"/>
  <c r="AM127" i="5"/>
  <c r="AS104" i="5"/>
  <c r="AO77" i="5"/>
  <c r="AM19" i="5"/>
  <c r="AO91" i="5"/>
  <c r="AM91" i="5"/>
  <c r="AG72" i="1"/>
  <c r="C6" i="64" s="1"/>
  <c r="AO74" i="5"/>
  <c r="AM81" i="5"/>
  <c r="AH72" i="1"/>
  <c r="AH73" i="1"/>
  <c r="AQ126" i="5"/>
  <c r="AS77" i="5"/>
  <c r="AJ312" i="9"/>
  <c r="AQ77" i="5"/>
  <c r="AO126" i="5"/>
  <c r="AS126" i="5"/>
  <c r="AQ116" i="5"/>
  <c r="AM105" i="5"/>
  <c r="AQ112" i="5"/>
  <c r="AO105" i="5"/>
  <c r="AO112" i="5"/>
  <c r="AQ74" i="5"/>
  <c r="AQ92" i="5"/>
  <c r="AM121" i="5"/>
  <c r="AS114" i="5"/>
  <c r="AQ121" i="5"/>
  <c r="AQ13" i="5"/>
  <c r="AM15" i="5"/>
  <c r="AM88" i="5"/>
  <c r="AO17" i="5"/>
  <c r="AO104" i="5"/>
  <c r="AM78" i="5"/>
  <c r="AS78" i="5"/>
  <c r="AS88" i="5"/>
  <c r="AQ88" i="5"/>
  <c r="AO12" i="5"/>
  <c r="AQ109" i="5"/>
  <c r="AM110" i="5"/>
  <c r="AO110" i="5"/>
  <c r="AQ110" i="5"/>
  <c r="AM103" i="5"/>
  <c r="AS80" i="5"/>
  <c r="AO103" i="5"/>
  <c r="AS103" i="5"/>
  <c r="AQ79" i="5"/>
  <c r="AO95" i="5"/>
  <c r="AQ95" i="5"/>
  <c r="AM79" i="5"/>
  <c r="AM119" i="5"/>
  <c r="AS95" i="5"/>
  <c r="AO79" i="5"/>
  <c r="AQ119" i="5"/>
  <c r="AO15" i="5"/>
  <c r="AQ15" i="5"/>
  <c r="AO19" i="5"/>
  <c r="AO80" i="5"/>
  <c r="AS109" i="5"/>
  <c r="AS12" i="5"/>
  <c r="AS19" i="5"/>
  <c r="AQ12" i="5"/>
  <c r="AS85" i="5"/>
  <c r="AS17" i="5"/>
  <c r="AQ91" i="5"/>
  <c r="AO109" i="5"/>
  <c r="AM122" i="5"/>
  <c r="AS13" i="5"/>
  <c r="AS72" i="5"/>
  <c r="AQ24" i="5"/>
  <c r="AO102" i="5"/>
  <c r="AS89" i="5"/>
  <c r="AM13" i="5"/>
  <c r="AM24" i="5"/>
  <c r="AQ104" i="5"/>
  <c r="AS119" i="5"/>
  <c r="AQ80" i="5"/>
  <c r="AM74" i="5"/>
  <c r="AS102" i="5"/>
  <c r="AO72" i="5"/>
  <c r="AS24" i="5"/>
  <c r="AO125" i="5"/>
  <c r="AS92" i="5"/>
  <c r="AS99" i="5"/>
  <c r="AM114" i="5"/>
  <c r="AQ72" i="5"/>
  <c r="AM102" i="5"/>
  <c r="AM99" i="5"/>
  <c r="AO114" i="5"/>
  <c r="AO94" i="5"/>
  <c r="AO122" i="5"/>
  <c r="AQ94" i="5"/>
  <c r="AJ38" i="7"/>
  <c r="AS94" i="5"/>
  <c r="AO89" i="5"/>
  <c r="AS122" i="5"/>
  <c r="AM87" i="5"/>
  <c r="AQ99" i="5"/>
  <c r="AO81" i="5"/>
  <c r="AS87" i="5"/>
  <c r="AO115" i="5"/>
  <c r="AM113" i="5"/>
  <c r="AO113" i="5"/>
  <c r="AQ115" i="5"/>
  <c r="AQ89" i="5"/>
  <c r="AQ113" i="5"/>
  <c r="AS115" i="5"/>
  <c r="AO85" i="5"/>
  <c r="AS81" i="5"/>
  <c r="AQ85" i="5"/>
  <c r="AO266" i="1"/>
  <c r="AO292" i="1" s="1"/>
  <c r="AH195" i="1"/>
  <c r="AO116" i="5"/>
  <c r="AS116" i="5"/>
  <c r="AI65" i="5"/>
  <c r="AI38" i="5"/>
  <c r="AH196" i="1"/>
  <c r="AI38" i="7"/>
  <c r="AM38" i="7" s="1"/>
  <c r="AJ45" i="7"/>
  <c r="AI45" i="7"/>
  <c r="AM48" i="5"/>
  <c r="AQ48" i="5" s="1"/>
  <c r="AI312" i="9"/>
  <c r="AO312" i="9" s="1"/>
  <c r="U164" i="6"/>
  <c r="AH301" i="1" l="1"/>
  <c r="AO38" i="7"/>
  <c r="AQ38" i="7"/>
  <c r="AM45" i="7"/>
  <c r="AO45" i="7"/>
  <c r="AQ45" i="7"/>
  <c r="AQ312" i="9"/>
  <c r="AS312" i="9"/>
  <c r="AU312" i="9"/>
  <c r="C9" i="64"/>
  <c r="B73" i="16"/>
  <c r="B274" i="9"/>
  <c r="U73" i="16" l="1"/>
  <c r="U274" i="9"/>
  <c r="AJ274" i="9" l="1"/>
  <c r="AJ73" i="16"/>
  <c r="AI73" i="16"/>
  <c r="AN73" i="16" s="1"/>
  <c r="AI274" i="9"/>
  <c r="AU274" i="9" s="1"/>
  <c r="B416" i="9"/>
  <c r="B272" i="9"/>
  <c r="B314" i="9"/>
  <c r="B205" i="9"/>
  <c r="B255" i="9"/>
  <c r="B21" i="18"/>
  <c r="B32" i="18"/>
  <c r="B37" i="18"/>
  <c r="B162" i="16"/>
  <c r="B208" i="16"/>
  <c r="B43" i="16"/>
  <c r="B42" i="16"/>
  <c r="B41" i="16"/>
  <c r="B41" i="7"/>
  <c r="B59" i="6"/>
  <c r="B128" i="6"/>
  <c r="AP73" i="16" l="1"/>
  <c r="AR73" i="16"/>
  <c r="AT73" i="16"/>
  <c r="AO274" i="9"/>
  <c r="AQ274" i="9"/>
  <c r="AS274" i="9"/>
  <c r="B130" i="6"/>
  <c r="AI42" i="16" l="1"/>
  <c r="V21" i="18"/>
  <c r="AD21" i="18"/>
  <c r="AG21" i="18"/>
  <c r="AA21" i="18"/>
  <c r="AE21" i="18"/>
  <c r="Y21" i="18"/>
  <c r="W21" i="18"/>
  <c r="X21" i="18"/>
  <c r="AF21" i="18"/>
  <c r="Z21" i="18"/>
  <c r="AC21" i="18"/>
  <c r="AB21" i="18"/>
  <c r="T32" i="18"/>
  <c r="T21" i="18"/>
  <c r="T37" i="18"/>
  <c r="AJ42" i="16"/>
  <c r="U42" i="16"/>
  <c r="U41" i="16"/>
  <c r="U162" i="16"/>
  <c r="U43" i="16"/>
  <c r="U208" i="16"/>
  <c r="U416" i="9"/>
  <c r="U255" i="9"/>
  <c r="U314" i="9"/>
  <c r="U205" i="9"/>
  <c r="U272" i="9"/>
  <c r="U41" i="7"/>
  <c r="AJ59" i="6"/>
  <c r="AI59" i="6"/>
  <c r="AH23" i="5"/>
  <c r="U100" i="6"/>
  <c r="U89" i="6"/>
  <c r="U59" i="6"/>
  <c r="U128" i="6"/>
  <c r="AJ314" i="9" l="1"/>
  <c r="AJ272" i="9"/>
  <c r="AI41" i="16"/>
  <c r="AI43" i="16"/>
  <c r="AI416" i="9"/>
  <c r="AJ416" i="9"/>
  <c r="AJ208" i="16"/>
  <c r="AI208" i="16"/>
  <c r="AI21" i="18"/>
  <c r="AJ162" i="16"/>
  <c r="AI162" i="16"/>
  <c r="AR162" i="16" s="1"/>
  <c r="AJ43" i="16"/>
  <c r="AJ41" i="16"/>
  <c r="AI205" i="9"/>
  <c r="AS205" i="9" s="1"/>
  <c r="AJ205" i="9"/>
  <c r="AI255" i="9"/>
  <c r="AJ255" i="9"/>
  <c r="AI41" i="7"/>
  <c r="AM41" i="7" s="1"/>
  <c r="AJ41" i="7"/>
  <c r="AJ128" i="6"/>
  <c r="AI128" i="6"/>
  <c r="AH21" i="18"/>
  <c r="AQ21" i="18" s="1"/>
  <c r="AI314" i="9"/>
  <c r="AI272" i="9"/>
  <c r="AO23" i="5"/>
  <c r="AO38" i="5" s="1"/>
  <c r="AM23" i="5"/>
  <c r="AM38" i="5" s="1"/>
  <c r="AQ23" i="5"/>
  <c r="AQ38" i="5" s="1"/>
  <c r="AS23" i="5"/>
  <c r="AS38" i="5" s="1"/>
  <c r="U130" i="6"/>
  <c r="AM21" i="18" l="1"/>
  <c r="AO21" i="18"/>
  <c r="AQ41" i="7"/>
  <c r="AO41" i="7"/>
  <c r="AJ130" i="6"/>
  <c r="AI130" i="6"/>
  <c r="AO205" i="9"/>
  <c r="AT162" i="16"/>
  <c r="AP162" i="16"/>
  <c r="AN162" i="16"/>
  <c r="AQ205" i="9"/>
  <c r="AU205" i="9"/>
  <c r="AS15" i="18"/>
  <c r="AM15" i="18"/>
  <c r="AQ15" i="18"/>
  <c r="AO15" i="18"/>
  <c r="AQ272" i="9"/>
  <c r="AO272" i="9"/>
  <c r="AU272" i="9"/>
  <c r="AS272" i="9"/>
  <c r="AO314" i="9"/>
  <c r="AU314" i="9"/>
  <c r="AS314" i="9"/>
  <c r="AQ314" i="9"/>
  <c r="B37" i="16"/>
  <c r="B19" i="9"/>
  <c r="B353" i="9"/>
  <c r="B174" i="9"/>
  <c r="Q32" i="33" l="1"/>
  <c r="Q42" i="33"/>
  <c r="T63" i="18"/>
  <c r="B392" i="9"/>
  <c r="U458" i="9"/>
  <c r="B44" i="7"/>
  <c r="B42" i="7"/>
  <c r="AJ353" i="9" l="1"/>
  <c r="AI353" i="9"/>
  <c r="Q37" i="33"/>
  <c r="U37" i="16"/>
  <c r="U174" i="9"/>
  <c r="U19" i="9"/>
  <c r="U353" i="9"/>
  <c r="AJ92" i="6"/>
  <c r="AI92" i="6"/>
  <c r="U92" i="6"/>
  <c r="J9" i="3"/>
  <c r="M9" i="3" s="1"/>
  <c r="I43" i="33"/>
  <c r="B20" i="18"/>
  <c r="J55" i="18"/>
  <c r="I55" i="18"/>
  <c r="B18" i="18"/>
  <c r="B19" i="18"/>
  <c r="B22" i="18"/>
  <c r="B23" i="18"/>
  <c r="B29" i="18"/>
  <c r="B31" i="18"/>
  <c r="B33" i="18"/>
  <c r="B34" i="18"/>
  <c r="B200" i="16"/>
  <c r="B35" i="16"/>
  <c r="B77" i="16"/>
  <c r="B76" i="16"/>
  <c r="B75" i="16"/>
  <c r="B74" i="16"/>
  <c r="AI37" i="16" l="1"/>
  <c r="N15" i="18"/>
  <c r="O15" i="18"/>
  <c r="I15" i="18"/>
  <c r="P15" i="18"/>
  <c r="J15" i="18"/>
  <c r="H15" i="18"/>
  <c r="K15" i="18"/>
  <c r="L15" i="18"/>
  <c r="M15" i="18"/>
  <c r="AJ37" i="16"/>
  <c r="AJ174" i="9"/>
  <c r="AI174" i="9"/>
  <c r="AU174" i="9" s="1"/>
  <c r="U392" i="9"/>
  <c r="U44" i="7"/>
  <c r="U42" i="7"/>
  <c r="AJ19" i="9"/>
  <c r="AI19" i="9"/>
  <c r="AQ19" i="9" s="1"/>
  <c r="AP92" i="6"/>
  <c r="AR92" i="6"/>
  <c r="AT92" i="6"/>
  <c r="AN92" i="6"/>
  <c r="Q15" i="18"/>
  <c r="S15" i="18"/>
  <c r="R15" i="18"/>
  <c r="AD20" i="18"/>
  <c r="V20" i="18"/>
  <c r="X20" i="18"/>
  <c r="AE22" i="18"/>
  <c r="AA22" i="18"/>
  <c r="W22" i="18"/>
  <c r="Y22" i="18"/>
  <c r="AF22" i="18"/>
  <c r="AB22" i="18"/>
  <c r="AE18" i="18"/>
  <c r="AC18" i="18"/>
  <c r="AE19" i="18"/>
  <c r="AA19" i="18"/>
  <c r="W19" i="18"/>
  <c r="AD19" i="18"/>
  <c r="Z19" i="18"/>
  <c r="V19" i="18"/>
  <c r="AG19" i="18"/>
  <c r="AC19" i="18"/>
  <c r="Y19" i="18"/>
  <c r="AF19" i="18"/>
  <c r="AB19" i="18"/>
  <c r="X19" i="18"/>
  <c r="AE23" i="18"/>
  <c r="AA23" i="18"/>
  <c r="W23" i="18"/>
  <c r="AD23" i="18"/>
  <c r="Z23" i="18"/>
  <c r="V23" i="18"/>
  <c r="AG23" i="18"/>
  <c r="AC23" i="18"/>
  <c r="Y23" i="18"/>
  <c r="AF23" i="18"/>
  <c r="AB23" i="18"/>
  <c r="X23" i="18"/>
  <c r="M43" i="33"/>
  <c r="K43" i="33"/>
  <c r="N43" i="33"/>
  <c r="H43" i="33"/>
  <c r="P43" i="33"/>
  <c r="O43" i="33"/>
  <c r="L43" i="33"/>
  <c r="J43" i="33"/>
  <c r="E40" i="33"/>
  <c r="E43" i="33" s="1"/>
  <c r="Q13" i="33"/>
  <c r="F43" i="33"/>
  <c r="G43" i="33"/>
  <c r="B157" i="16"/>
  <c r="B145" i="16"/>
  <c r="B102" i="16"/>
  <c r="B231" i="16"/>
  <c r="B230" i="16"/>
  <c r="B225" i="16"/>
  <c r="B220" i="16"/>
  <c r="B219" i="16"/>
  <c r="B216" i="16"/>
  <c r="B215" i="16"/>
  <c r="B214" i="16"/>
  <c r="B213" i="16"/>
  <c r="B196" i="16"/>
  <c r="B197" i="16"/>
  <c r="B203" i="16"/>
  <c r="B204" i="16"/>
  <c r="B205" i="16"/>
  <c r="B206" i="16"/>
  <c r="B207" i="16"/>
  <c r="B195" i="16"/>
  <c r="B143" i="16"/>
  <c r="B144" i="16"/>
  <c r="B146" i="16"/>
  <c r="B147" i="16"/>
  <c r="B148" i="16"/>
  <c r="B149" i="16"/>
  <c r="B150" i="16"/>
  <c r="B151" i="16"/>
  <c r="B152" i="16"/>
  <c r="B153" i="16"/>
  <c r="B154" i="16"/>
  <c r="B155" i="16"/>
  <c r="B156" i="16"/>
  <c r="B158" i="16"/>
  <c r="B159" i="16"/>
  <c r="B160" i="16"/>
  <c r="B164" i="16"/>
  <c r="B171" i="16"/>
  <c r="B174" i="16"/>
  <c r="B175" i="16"/>
  <c r="B176" i="16"/>
  <c r="B180" i="16"/>
  <c r="B181" i="16"/>
  <c r="B182" i="16"/>
  <c r="B183" i="16"/>
  <c r="B184" i="16"/>
  <c r="B188" i="16"/>
  <c r="B165" i="16"/>
  <c r="B168" i="16"/>
  <c r="B86" i="16"/>
  <c r="B87" i="16"/>
  <c r="B88" i="16"/>
  <c r="B89" i="16"/>
  <c r="B90" i="16"/>
  <c r="B91" i="16"/>
  <c r="B92" i="16"/>
  <c r="B93" i="16"/>
  <c r="B94" i="16"/>
  <c r="B95" i="16"/>
  <c r="B96" i="16"/>
  <c r="B97" i="16"/>
  <c r="B98" i="16"/>
  <c r="B99" i="16"/>
  <c r="B100" i="16"/>
  <c r="B103" i="16"/>
  <c r="B104" i="16"/>
  <c r="B119" i="16"/>
  <c r="B120" i="16"/>
  <c r="B121" i="16"/>
  <c r="B122" i="16"/>
  <c r="B124" i="16"/>
  <c r="B125" i="16"/>
  <c r="B113" i="16"/>
  <c r="B114" i="16"/>
  <c r="B115" i="16"/>
  <c r="B116" i="16"/>
  <c r="B126" i="16"/>
  <c r="B127" i="16"/>
  <c r="B128" i="16"/>
  <c r="B132" i="16"/>
  <c r="B133" i="16"/>
  <c r="B105" i="16"/>
  <c r="B107" i="16"/>
  <c r="B108" i="16"/>
  <c r="B109" i="16"/>
  <c r="B110" i="16"/>
  <c r="B112" i="16"/>
  <c r="B137" i="16"/>
  <c r="B138" i="16"/>
  <c r="B85" i="16"/>
  <c r="B72" i="16"/>
  <c r="B71" i="16"/>
  <c r="B51" i="16"/>
  <c r="B48" i="16"/>
  <c r="B29" i="16"/>
  <c r="B30" i="16"/>
  <c r="B31" i="16"/>
  <c r="B32" i="16"/>
  <c r="B33" i="16"/>
  <c r="B34" i="16"/>
  <c r="B38" i="16"/>
  <c r="B40" i="16"/>
  <c r="B27" i="16"/>
  <c r="B23" i="16"/>
  <c r="B13" i="16"/>
  <c r="B14" i="16"/>
  <c r="B15" i="16"/>
  <c r="B16" i="16"/>
  <c r="B17" i="16"/>
  <c r="B18" i="16"/>
  <c r="B19" i="16"/>
  <c r="B20" i="16"/>
  <c r="B21" i="16"/>
  <c r="B22" i="16"/>
  <c r="B12" i="16"/>
  <c r="B66" i="9"/>
  <c r="B116" i="9"/>
  <c r="B331" i="9"/>
  <c r="B273" i="9"/>
  <c r="B265" i="9"/>
  <c r="B245" i="9"/>
  <c r="B204" i="9"/>
  <c r="B451" i="9"/>
  <c r="B47" i="9"/>
  <c r="B48" i="9"/>
  <c r="B49" i="9"/>
  <c r="B50" i="9"/>
  <c r="B51" i="9"/>
  <c r="B46" i="9"/>
  <c r="B438" i="9"/>
  <c r="B439" i="9"/>
  <c r="B440" i="9"/>
  <c r="B441" i="9"/>
  <c r="B442" i="9"/>
  <c r="B437" i="9"/>
  <c r="B422" i="9"/>
  <c r="B423" i="9"/>
  <c r="B424" i="9"/>
  <c r="B427" i="9"/>
  <c r="B432" i="9"/>
  <c r="B421" i="9"/>
  <c r="B366" i="9"/>
  <c r="B368" i="9"/>
  <c r="B374" i="9"/>
  <c r="B375" i="9"/>
  <c r="B376" i="9"/>
  <c r="B377" i="9"/>
  <c r="B388" i="9"/>
  <c r="B389" i="9"/>
  <c r="B390" i="9"/>
  <c r="B391" i="9"/>
  <c r="B393" i="9"/>
  <c r="B395" i="9"/>
  <c r="B396" i="9"/>
  <c r="B400" i="9"/>
  <c r="B401" i="9"/>
  <c r="B402" i="9"/>
  <c r="B406" i="9"/>
  <c r="B407" i="9"/>
  <c r="B409" i="9"/>
  <c r="B410" i="9"/>
  <c r="B411" i="9"/>
  <c r="B413" i="9"/>
  <c r="B415" i="9"/>
  <c r="B324" i="9"/>
  <c r="B322" i="9"/>
  <c r="B335" i="9"/>
  <c r="B336" i="9"/>
  <c r="B337" i="9"/>
  <c r="B338" i="9"/>
  <c r="B339" i="9"/>
  <c r="B340" i="9"/>
  <c r="B341" i="9"/>
  <c r="B342" i="9"/>
  <c r="B343" i="9"/>
  <c r="B344" i="9"/>
  <c r="B345" i="9"/>
  <c r="B347" i="9"/>
  <c r="B349" i="9"/>
  <c r="B350" i="9"/>
  <c r="B354" i="9"/>
  <c r="B355" i="9"/>
  <c r="B356" i="9"/>
  <c r="B357" i="9"/>
  <c r="B325" i="9"/>
  <c r="B326" i="9"/>
  <c r="B327" i="9"/>
  <c r="B328" i="9"/>
  <c r="B329" i="9"/>
  <c r="B330" i="9"/>
  <c r="B332" i="9"/>
  <c r="B261" i="9"/>
  <c r="B262" i="9"/>
  <c r="B264" i="9"/>
  <c r="B266" i="9"/>
  <c r="B267" i="9"/>
  <c r="B268" i="9"/>
  <c r="B269" i="9"/>
  <c r="B270" i="9"/>
  <c r="B275" i="9"/>
  <c r="B276" i="9"/>
  <c r="B277" i="9"/>
  <c r="B278" i="9"/>
  <c r="B279" i="9"/>
  <c r="B281" i="9"/>
  <c r="B283" i="9"/>
  <c r="B284" i="9"/>
  <c r="B285" i="9"/>
  <c r="B286" i="9"/>
  <c r="B287" i="9"/>
  <c r="B288" i="9"/>
  <c r="B289" i="9"/>
  <c r="B290" i="9"/>
  <c r="B291" i="9"/>
  <c r="B292" i="9"/>
  <c r="B293" i="9"/>
  <c r="B294" i="9"/>
  <c r="B295" i="9"/>
  <c r="B296" i="9"/>
  <c r="B298" i="9"/>
  <c r="B299" i="9"/>
  <c r="B300" i="9"/>
  <c r="B301" i="9"/>
  <c r="B302" i="9"/>
  <c r="B303" i="9"/>
  <c r="B304" i="9"/>
  <c r="B305" i="9"/>
  <c r="B307" i="9"/>
  <c r="B308" i="9"/>
  <c r="B311" i="9"/>
  <c r="B313" i="9"/>
  <c r="B315" i="9"/>
  <c r="B319" i="9"/>
  <c r="B321" i="9"/>
  <c r="B260" i="9"/>
  <c r="X22" i="18" l="1"/>
  <c r="AC22" i="18"/>
  <c r="AG22" i="18"/>
  <c r="V22" i="18"/>
  <c r="Z22" i="18"/>
  <c r="AD22" i="18"/>
  <c r="AI75" i="16"/>
  <c r="Y20" i="18"/>
  <c r="AE20" i="18"/>
  <c r="AC20" i="18"/>
  <c r="AG20" i="18"/>
  <c r="Z20" i="18"/>
  <c r="Y18" i="18"/>
  <c r="AA18" i="18"/>
  <c r="AF20" i="18"/>
  <c r="AG18" i="18"/>
  <c r="V18" i="18"/>
  <c r="AF18" i="18"/>
  <c r="W18" i="18"/>
  <c r="AB20" i="18"/>
  <c r="W20" i="18"/>
  <c r="AA20" i="18"/>
  <c r="X18" i="18"/>
  <c r="Z18" i="18"/>
  <c r="AB18" i="18"/>
  <c r="AD18" i="18"/>
  <c r="R39" i="18"/>
  <c r="M39" i="18"/>
  <c r="O39" i="18"/>
  <c r="Q39" i="18"/>
  <c r="N39" i="18"/>
  <c r="S39" i="18"/>
  <c r="P39" i="18"/>
  <c r="I39" i="18"/>
  <c r="K39" i="18"/>
  <c r="J39" i="18"/>
  <c r="L39" i="18"/>
  <c r="AJ392" i="9"/>
  <c r="Q30" i="33"/>
  <c r="Q40" i="33" s="1"/>
  <c r="T33" i="18"/>
  <c r="T29" i="18"/>
  <c r="T18" i="18"/>
  <c r="T31" i="18"/>
  <c r="T20" i="18"/>
  <c r="T13" i="18"/>
  <c r="T15" i="18" s="1"/>
  <c r="H8" i="3" s="1"/>
  <c r="T22" i="18"/>
  <c r="T34" i="18"/>
  <c r="H15" i="3"/>
  <c r="T23" i="18"/>
  <c r="T19" i="18"/>
  <c r="AJ75" i="16"/>
  <c r="U74" i="16"/>
  <c r="U77" i="16"/>
  <c r="U35" i="16"/>
  <c r="U200" i="16"/>
  <c r="U76" i="16"/>
  <c r="U75" i="16"/>
  <c r="AI42" i="7"/>
  <c r="AJ42" i="7"/>
  <c r="AI44" i="7"/>
  <c r="AJ44" i="7"/>
  <c r="AI392" i="9"/>
  <c r="AS392" i="9" s="1"/>
  <c r="AO174" i="9"/>
  <c r="AQ174" i="9"/>
  <c r="AS174" i="9"/>
  <c r="AS19" i="9"/>
  <c r="AU19" i="9"/>
  <c r="AO19" i="9"/>
  <c r="H58" i="18"/>
  <c r="S49" i="18"/>
  <c r="L49" i="18"/>
  <c r="K49" i="18"/>
  <c r="K53" i="18"/>
  <c r="K45" i="18"/>
  <c r="S53" i="18"/>
  <c r="S45" i="18"/>
  <c r="H39" i="18"/>
  <c r="I49" i="18"/>
  <c r="I45" i="18"/>
  <c r="J45" i="18"/>
  <c r="J49" i="18"/>
  <c r="I53" i="18"/>
  <c r="J53" i="18"/>
  <c r="B225" i="9"/>
  <c r="B226" i="9"/>
  <c r="B227" i="9"/>
  <c r="B228" i="9"/>
  <c r="B229" i="9"/>
  <c r="B230" i="9"/>
  <c r="B231" i="9"/>
  <c r="B232" i="9"/>
  <c r="B234" i="9"/>
  <c r="B235" i="9"/>
  <c r="B210" i="9"/>
  <c r="B211" i="9"/>
  <c r="B212" i="9"/>
  <c r="B213" i="9"/>
  <c r="B214" i="9"/>
  <c r="B217" i="9"/>
  <c r="B218" i="9"/>
  <c r="B219" i="9"/>
  <c r="B220" i="9"/>
  <c r="B206" i="9"/>
  <c r="B208" i="9"/>
  <c r="B236" i="9"/>
  <c r="B238" i="9"/>
  <c r="B239" i="9"/>
  <c r="B246" i="9"/>
  <c r="B247" i="9"/>
  <c r="B221" i="9"/>
  <c r="B181" i="9"/>
  <c r="B183" i="9"/>
  <c r="B184" i="9"/>
  <c r="B186" i="9"/>
  <c r="B190" i="9"/>
  <c r="B191" i="9"/>
  <c r="B192" i="9"/>
  <c r="B193" i="9"/>
  <c r="B194" i="9"/>
  <c r="B195" i="9"/>
  <c r="B197" i="9"/>
  <c r="B198" i="9"/>
  <c r="B199" i="9"/>
  <c r="B200" i="9"/>
  <c r="B201" i="9"/>
  <c r="B202" i="9"/>
  <c r="B203" i="9"/>
  <c r="B156" i="9"/>
  <c r="B158" i="9"/>
  <c r="B160" i="9"/>
  <c r="B162" i="9"/>
  <c r="B163" i="9"/>
  <c r="B164" i="9"/>
  <c r="B165" i="9"/>
  <c r="B166" i="9"/>
  <c r="B167" i="9"/>
  <c r="B170" i="9"/>
  <c r="B171" i="9"/>
  <c r="B172" i="9"/>
  <c r="B173" i="9"/>
  <c r="B175" i="9"/>
  <c r="B176" i="9"/>
  <c r="B177" i="9"/>
  <c r="B178" i="9"/>
  <c r="B180" i="9"/>
  <c r="B128" i="9"/>
  <c r="B129" i="9"/>
  <c r="B130" i="9"/>
  <c r="B131" i="9"/>
  <c r="B132" i="9"/>
  <c r="B137" i="9"/>
  <c r="B134" i="9"/>
  <c r="B138" i="9"/>
  <c r="B140" i="9"/>
  <c r="B141" i="9"/>
  <c r="B142" i="9"/>
  <c r="B143" i="9"/>
  <c r="B144" i="9"/>
  <c r="B145" i="9"/>
  <c r="B148" i="9"/>
  <c r="B150" i="9"/>
  <c r="B152" i="9"/>
  <c r="B153" i="9"/>
  <c r="B154" i="9"/>
  <c r="B126" i="9"/>
  <c r="B119" i="9"/>
  <c r="B118" i="9"/>
  <c r="B74" i="9"/>
  <c r="B75" i="9"/>
  <c r="B76" i="9"/>
  <c r="B79" i="9"/>
  <c r="B80" i="9"/>
  <c r="B81" i="9"/>
  <c r="B73" i="9"/>
  <c r="B52" i="9"/>
  <c r="B53" i="9"/>
  <c r="B54" i="9"/>
  <c r="B55" i="9"/>
  <c r="B56" i="9"/>
  <c r="B58" i="9"/>
  <c r="B59" i="9"/>
  <c r="B60" i="9"/>
  <c r="B61" i="9"/>
  <c r="B62" i="9"/>
  <c r="B63" i="9"/>
  <c r="B65" i="9"/>
  <c r="B13" i="9"/>
  <c r="B14" i="9"/>
  <c r="B20" i="9"/>
  <c r="B21" i="9"/>
  <c r="B22" i="9"/>
  <c r="B28" i="9"/>
  <c r="B29" i="9"/>
  <c r="B30" i="9"/>
  <c r="B31" i="9"/>
  <c r="B32" i="9"/>
  <c r="B33" i="9"/>
  <c r="B34" i="9"/>
  <c r="B35" i="9"/>
  <c r="B36" i="9"/>
  <c r="B37" i="9"/>
  <c r="B38" i="9"/>
  <c r="B39" i="9"/>
  <c r="B40" i="9"/>
  <c r="B41" i="9"/>
  <c r="B42" i="9"/>
  <c r="B43" i="9"/>
  <c r="B44" i="9"/>
  <c r="B45" i="9"/>
  <c r="B12" i="9"/>
  <c r="B49" i="7"/>
  <c r="B75" i="7"/>
  <c r="B76" i="7"/>
  <c r="B29" i="7"/>
  <c r="B28" i="7"/>
  <c r="B30" i="7"/>
  <c r="B27" i="7"/>
  <c r="B35" i="7"/>
  <c r="B36" i="7"/>
  <c r="B37" i="7"/>
  <c r="B34" i="7"/>
  <c r="B31" i="7"/>
  <c r="B33" i="7"/>
  <c r="B32" i="7"/>
  <c r="B167" i="7"/>
  <c r="B155" i="7"/>
  <c r="B136" i="7"/>
  <c r="B141" i="7"/>
  <c r="B132" i="7"/>
  <c r="B121" i="7"/>
  <c r="B91" i="7"/>
  <c r="B62" i="7"/>
  <c r="B232" i="7"/>
  <c r="B233" i="7"/>
  <c r="B234" i="7"/>
  <c r="B231" i="7"/>
  <c r="B224" i="7"/>
  <c r="B223" i="7"/>
  <c r="B185" i="7"/>
  <c r="B186" i="7"/>
  <c r="B187" i="7"/>
  <c r="B188" i="7"/>
  <c r="B189" i="7"/>
  <c r="B191" i="7"/>
  <c r="B192" i="7"/>
  <c r="B193" i="7"/>
  <c r="B195" i="7"/>
  <c r="B202" i="7"/>
  <c r="B203" i="7"/>
  <c r="B204" i="7"/>
  <c r="B205" i="7"/>
  <c r="B206" i="7"/>
  <c r="B207" i="7"/>
  <c r="B208" i="7"/>
  <c r="B210" i="7"/>
  <c r="B130" i="7"/>
  <c r="B131" i="7"/>
  <c r="B139" i="7"/>
  <c r="B140" i="7"/>
  <c r="B145" i="7"/>
  <c r="B149" i="7"/>
  <c r="B153" i="7"/>
  <c r="B154" i="7"/>
  <c r="B156" i="7"/>
  <c r="B159" i="7"/>
  <c r="B162" i="7"/>
  <c r="B165" i="7"/>
  <c r="B168" i="7"/>
  <c r="B170" i="7"/>
  <c r="B171" i="7"/>
  <c r="B174" i="7"/>
  <c r="B126" i="7"/>
  <c r="B84" i="7"/>
  <c r="B86" i="7"/>
  <c r="B87" i="7"/>
  <c r="B89" i="7"/>
  <c r="B90" i="7"/>
  <c r="B92" i="7"/>
  <c r="B93" i="7"/>
  <c r="B94" i="7"/>
  <c r="B106" i="7"/>
  <c r="B107" i="7"/>
  <c r="B108" i="7"/>
  <c r="B109" i="7"/>
  <c r="B110" i="7"/>
  <c r="B111" i="7"/>
  <c r="B112" i="7"/>
  <c r="B113" i="7"/>
  <c r="B114" i="7"/>
  <c r="B115" i="7"/>
  <c r="B116" i="7"/>
  <c r="B117" i="7"/>
  <c r="B102" i="7"/>
  <c r="B101" i="7"/>
  <c r="B118" i="7"/>
  <c r="B120" i="7"/>
  <c r="B83" i="7"/>
  <c r="B67" i="7"/>
  <c r="B12" i="7"/>
  <c r="B25" i="7"/>
  <c r="B26" i="7"/>
  <c r="B41" i="6"/>
  <c r="B43" i="6"/>
  <c r="AJ109" i="16" l="1"/>
  <c r="AI113" i="16"/>
  <c r="AJ188" i="16"/>
  <c r="U124" i="16"/>
  <c r="AJ304" i="9"/>
  <c r="AJ308" i="9"/>
  <c r="AJ307" i="9"/>
  <c r="AJ303" i="9"/>
  <c r="AJ298" i="9"/>
  <c r="T39" i="18"/>
  <c r="AI33" i="16"/>
  <c r="AI21" i="16"/>
  <c r="AI40" i="16"/>
  <c r="AJ48" i="16"/>
  <c r="AI48" i="16"/>
  <c r="AI34" i="16"/>
  <c r="AI19" i="16"/>
  <c r="AI16" i="16"/>
  <c r="AI20" i="16"/>
  <c r="AI32" i="16"/>
  <c r="AI22" i="16"/>
  <c r="AI31" i="16"/>
  <c r="AI35" i="16"/>
  <c r="Y210" i="16"/>
  <c r="AE80" i="16"/>
  <c r="X210" i="16"/>
  <c r="AE210" i="16"/>
  <c r="AJ108" i="16"/>
  <c r="AJ76" i="16"/>
  <c r="AI77" i="16"/>
  <c r="AI76" i="16"/>
  <c r="AO392" i="9"/>
  <c r="W12" i="16"/>
  <c r="AJ200" i="16"/>
  <c r="AC61" i="16"/>
  <c r="Z61" i="16"/>
  <c r="AG61" i="16"/>
  <c r="AD61" i="16"/>
  <c r="X61" i="16"/>
  <c r="AB61" i="16"/>
  <c r="AA61" i="16"/>
  <c r="Y61" i="16"/>
  <c r="AI200" i="16"/>
  <c r="AI74" i="16"/>
  <c r="AI120" i="16"/>
  <c r="AI132" i="16"/>
  <c r="AI127" i="16"/>
  <c r="AI125" i="16"/>
  <c r="N68" i="16"/>
  <c r="AB68" i="16"/>
  <c r="AI121" i="16"/>
  <c r="AI116" i="16"/>
  <c r="M68" i="16"/>
  <c r="AA68" i="16"/>
  <c r="Q68" i="16"/>
  <c r="AE68" i="16"/>
  <c r="O68" i="16"/>
  <c r="AC68" i="16"/>
  <c r="AH222" i="16"/>
  <c r="L68" i="16"/>
  <c r="Z68" i="16"/>
  <c r="AG210" i="16"/>
  <c r="P68" i="16"/>
  <c r="AD68" i="16"/>
  <c r="S61" i="18"/>
  <c r="J61" i="18"/>
  <c r="J64" i="18" s="1"/>
  <c r="K61" i="18"/>
  <c r="K64" i="18" s="1"/>
  <c r="I61" i="18"/>
  <c r="Y39" i="18"/>
  <c r="AC222" i="16"/>
  <c r="W39" i="18"/>
  <c r="AG222" i="16"/>
  <c r="AD222" i="16"/>
  <c r="X222" i="16"/>
  <c r="AE222" i="16"/>
  <c r="AJ423" i="9"/>
  <c r="AG434" i="9"/>
  <c r="AI20" i="18"/>
  <c r="AB222" i="16"/>
  <c r="AE434" i="9"/>
  <c r="AA39" i="18"/>
  <c r="AC39" i="18"/>
  <c r="AI19" i="18"/>
  <c r="AC434" i="9"/>
  <c r="W434" i="9"/>
  <c r="AJ421" i="9"/>
  <c r="Z222" i="16"/>
  <c r="AJ424" i="9"/>
  <c r="AA434" i="9"/>
  <c r="AD39" i="18"/>
  <c r="AI22" i="18"/>
  <c r="W222" i="16"/>
  <c r="AJ216" i="16"/>
  <c r="AI216" i="16"/>
  <c r="AJ204" i="16"/>
  <c r="AI204" i="16"/>
  <c r="AH434" i="9"/>
  <c r="AB39" i="18"/>
  <c r="AH23" i="18"/>
  <c r="AQ23" i="18" s="1"/>
  <c r="AI23" i="18"/>
  <c r="AF39" i="18"/>
  <c r="AA222" i="16"/>
  <c r="AI215" i="16"/>
  <c r="AJ215" i="16"/>
  <c r="AJ219" i="16"/>
  <c r="AI219" i="16"/>
  <c r="Z434" i="9"/>
  <c r="Z39" i="18"/>
  <c r="AJ325" i="9"/>
  <c r="AI325" i="9"/>
  <c r="AF434" i="9"/>
  <c r="X39" i="18"/>
  <c r="AI406" i="9"/>
  <c r="X434" i="9"/>
  <c r="V39" i="18"/>
  <c r="AI18" i="18"/>
  <c r="AE39" i="18"/>
  <c r="AJ406" i="9"/>
  <c r="AJ422" i="9"/>
  <c r="AJ432" i="9"/>
  <c r="AI432" i="9"/>
  <c r="Y434" i="9"/>
  <c r="AG39" i="18"/>
  <c r="AJ100" i="16"/>
  <c r="Y222" i="16"/>
  <c r="AJ220" i="16"/>
  <c r="AI220" i="16"/>
  <c r="AJ214" i="16"/>
  <c r="AI214" i="16"/>
  <c r="AJ201" i="16"/>
  <c r="AI201" i="16"/>
  <c r="AB434" i="9"/>
  <c r="AD434" i="9"/>
  <c r="AH19" i="18"/>
  <c r="AQ19" i="18" s="1"/>
  <c r="AH18" i="18"/>
  <c r="AJ121" i="16"/>
  <c r="AI184" i="16"/>
  <c r="AJ150" i="16"/>
  <c r="AI150" i="16"/>
  <c r="AJ174" i="16"/>
  <c r="AI174" i="16"/>
  <c r="AJ125" i="16"/>
  <c r="AJ132" i="16"/>
  <c r="AI148" i="16"/>
  <c r="AI156" i="16"/>
  <c r="AI165" i="16"/>
  <c r="AJ144" i="16"/>
  <c r="AJ74" i="16"/>
  <c r="AJ160" i="16"/>
  <c r="AI160" i="16"/>
  <c r="AJ35" i="16"/>
  <c r="AJ168" i="16"/>
  <c r="AI168" i="16"/>
  <c r="AI164" i="16"/>
  <c r="AJ77" i="16"/>
  <c r="AJ154" i="16"/>
  <c r="AI154" i="16"/>
  <c r="AJ184" i="16"/>
  <c r="AJ92" i="16"/>
  <c r="AI100" i="16"/>
  <c r="AJ164" i="16"/>
  <c r="AJ148" i="16"/>
  <c r="AJ156" i="16"/>
  <c r="AJ183" i="16"/>
  <c r="AI183" i="16"/>
  <c r="AJ171" i="16"/>
  <c r="AI171" i="16"/>
  <c r="AJ165" i="16"/>
  <c r="AI92" i="16"/>
  <c r="AI144" i="16"/>
  <c r="AJ115" i="16"/>
  <c r="AJ157" i="16"/>
  <c r="AI157" i="16"/>
  <c r="AJ180" i="16"/>
  <c r="AI180" i="16"/>
  <c r="AJ145" i="16"/>
  <c r="AI145" i="16"/>
  <c r="AJ120" i="16"/>
  <c r="AJ127" i="16"/>
  <c r="AJ116" i="16"/>
  <c r="AJ31" i="16"/>
  <c r="AJ21" i="16"/>
  <c r="AJ19" i="16"/>
  <c r="AJ33" i="16"/>
  <c r="AJ34" i="16"/>
  <c r="AJ16" i="16"/>
  <c r="AJ20" i="16"/>
  <c r="AJ32" i="16"/>
  <c r="AJ22" i="16"/>
  <c r="U180" i="16"/>
  <c r="U120" i="16"/>
  <c r="U127" i="16"/>
  <c r="U168" i="16"/>
  <c r="U125" i="16"/>
  <c r="U137" i="16"/>
  <c r="U155" i="16"/>
  <c r="O80" i="16"/>
  <c r="AF80" i="16"/>
  <c r="R80" i="16"/>
  <c r="O222" i="16"/>
  <c r="O233" i="16"/>
  <c r="R140" i="16"/>
  <c r="AF140" i="16" s="1"/>
  <c r="M140" i="16"/>
  <c r="AA140" i="16" s="1"/>
  <c r="R210" i="16"/>
  <c r="M210" i="16"/>
  <c r="M190" i="16"/>
  <c r="L45" i="16"/>
  <c r="N45" i="16"/>
  <c r="U143" i="16"/>
  <c r="J190" i="16"/>
  <c r="U87" i="16"/>
  <c r="U94" i="16"/>
  <c r="U98" i="16"/>
  <c r="U21" i="16"/>
  <c r="U48" i="16"/>
  <c r="U19" i="16"/>
  <c r="U38" i="16"/>
  <c r="U149" i="16"/>
  <c r="U86" i="16"/>
  <c r="U126" i="16"/>
  <c r="U146" i="16"/>
  <c r="U176" i="16"/>
  <c r="U88" i="16"/>
  <c r="U95" i="16"/>
  <c r="U116" i="16"/>
  <c r="U128" i="16"/>
  <c r="U105" i="16"/>
  <c r="AG80" i="16"/>
  <c r="S80" i="16"/>
  <c r="L80" i="16"/>
  <c r="U89" i="16"/>
  <c r="U93" i="16"/>
  <c r="L222" i="16"/>
  <c r="S222" i="16"/>
  <c r="L233" i="16"/>
  <c r="S233" i="16"/>
  <c r="K140" i="16"/>
  <c r="Y140" i="16" s="1"/>
  <c r="Q140" i="16"/>
  <c r="AE140" i="16" s="1"/>
  <c r="K210" i="16"/>
  <c r="Q210" i="16"/>
  <c r="Q190" i="16"/>
  <c r="P45" i="16"/>
  <c r="R45" i="16"/>
  <c r="U145" i="16"/>
  <c r="K61" i="16"/>
  <c r="L61" i="16"/>
  <c r="U156" i="16"/>
  <c r="U97" i="16"/>
  <c r="U181" i="16"/>
  <c r="P61" i="16"/>
  <c r="U33" i="16"/>
  <c r="U18" i="16"/>
  <c r="T61" i="16"/>
  <c r="U34" i="16"/>
  <c r="U157" i="16"/>
  <c r="U152" i="16"/>
  <c r="U109" i="16"/>
  <c r="M61" i="16"/>
  <c r="U188" i="16"/>
  <c r="U151" i="16"/>
  <c r="U165" i="16"/>
  <c r="U90" i="16"/>
  <c r="AE61" i="16"/>
  <c r="Q61" i="16"/>
  <c r="U13" i="16"/>
  <c r="U14" i="16"/>
  <c r="U99" i="16"/>
  <c r="U121" i="16"/>
  <c r="K80" i="16"/>
  <c r="P80" i="16"/>
  <c r="U147" i="16"/>
  <c r="U138" i="16"/>
  <c r="P222" i="16"/>
  <c r="U213" i="16"/>
  <c r="U207" i="16"/>
  <c r="P233" i="16"/>
  <c r="U216" i="16"/>
  <c r="U204" i="16"/>
  <c r="O140" i="16"/>
  <c r="AC140" i="16" s="1"/>
  <c r="O210" i="16"/>
  <c r="X68" i="16"/>
  <c r="AH68" i="16"/>
  <c r="T68" i="16"/>
  <c r="R190" i="16"/>
  <c r="T45" i="16"/>
  <c r="U132" i="16"/>
  <c r="U108" i="16"/>
  <c r="U148" i="16"/>
  <c r="U158" i="16"/>
  <c r="U175" i="16"/>
  <c r="U184" i="16"/>
  <c r="U103" i="16"/>
  <c r="J61" i="16"/>
  <c r="U102" i="16"/>
  <c r="U150" i="16"/>
  <c r="U112" i="16"/>
  <c r="U51" i="16"/>
  <c r="U71" i="16"/>
  <c r="AH80" i="16"/>
  <c r="T80" i="16"/>
  <c r="U20" i="16"/>
  <c r="U174" i="16"/>
  <c r="U32" i="16"/>
  <c r="U40" i="16"/>
  <c r="T222" i="16"/>
  <c r="M222" i="16"/>
  <c r="T233" i="16"/>
  <c r="M233" i="16"/>
  <c r="U220" i="16"/>
  <c r="U215" i="16"/>
  <c r="U205" i="16"/>
  <c r="U219" i="16"/>
  <c r="U214" i="16"/>
  <c r="U206" i="16"/>
  <c r="U129" i="16"/>
  <c r="U131" i="16"/>
  <c r="S140" i="16"/>
  <c r="AG140" i="16" s="1"/>
  <c r="S210" i="16"/>
  <c r="U64" i="16"/>
  <c r="U68" i="16" s="1"/>
  <c r="N190" i="16"/>
  <c r="U183" i="16"/>
  <c r="U72" i="16"/>
  <c r="U144" i="16"/>
  <c r="U115" i="16"/>
  <c r="N61" i="16"/>
  <c r="U31" i="16"/>
  <c r="U29" i="16"/>
  <c r="U171" i="16"/>
  <c r="U153" i="16"/>
  <c r="M80" i="16"/>
  <c r="U119" i="16"/>
  <c r="U133" i="16"/>
  <c r="J222" i="16"/>
  <c r="Q222" i="16"/>
  <c r="J233" i="16"/>
  <c r="Q233" i="16"/>
  <c r="L140" i="16"/>
  <c r="Z140" i="16" s="1"/>
  <c r="L210" i="16"/>
  <c r="AF68" i="16"/>
  <c r="R68" i="16"/>
  <c r="O190" i="16"/>
  <c r="M45" i="16"/>
  <c r="U154" i="16"/>
  <c r="S61" i="16"/>
  <c r="R61" i="16"/>
  <c r="U16" i="16"/>
  <c r="U91" i="16"/>
  <c r="Q80" i="16"/>
  <c r="U160" i="16"/>
  <c r="U96" i="16"/>
  <c r="U113" i="16"/>
  <c r="N222" i="16"/>
  <c r="N233" i="16"/>
  <c r="P140" i="16"/>
  <c r="AD140" i="16" s="1"/>
  <c r="P210" i="16"/>
  <c r="Y68" i="16"/>
  <c r="S190" i="16"/>
  <c r="U27" i="16"/>
  <c r="Q45" i="16"/>
  <c r="U92" i="16"/>
  <c r="U159" i="16"/>
  <c r="U164" i="16"/>
  <c r="U104" i="16"/>
  <c r="J80" i="16"/>
  <c r="U182" i="16"/>
  <c r="U107" i="16"/>
  <c r="U114" i="16"/>
  <c r="U225" i="16"/>
  <c r="R222" i="16"/>
  <c r="U203" i="16"/>
  <c r="U231" i="16"/>
  <c r="R233" i="16"/>
  <c r="U196" i="16"/>
  <c r="J140" i="16"/>
  <c r="X140" i="16" s="1"/>
  <c r="T140" i="16"/>
  <c r="AH140" i="16" s="1"/>
  <c r="J210" i="16"/>
  <c r="T210" i="16"/>
  <c r="P190" i="16"/>
  <c r="K45" i="16"/>
  <c r="O45" i="16"/>
  <c r="L190" i="16"/>
  <c r="U122" i="16"/>
  <c r="O61" i="16"/>
  <c r="U15" i="16"/>
  <c r="U100" i="16"/>
  <c r="U110" i="16"/>
  <c r="AB80" i="16"/>
  <c r="N80" i="16"/>
  <c r="U17" i="16"/>
  <c r="U30" i="16"/>
  <c r="U22" i="16"/>
  <c r="K222" i="16"/>
  <c r="K233" i="16"/>
  <c r="U197" i="16"/>
  <c r="U230" i="16"/>
  <c r="U201" i="16"/>
  <c r="N140" i="16"/>
  <c r="AB140" i="16" s="1"/>
  <c r="U85" i="16"/>
  <c r="U23" i="16"/>
  <c r="N210" i="16"/>
  <c r="U195" i="16"/>
  <c r="AG68" i="16"/>
  <c r="S68" i="16"/>
  <c r="U130" i="16"/>
  <c r="T190" i="16"/>
  <c r="S45" i="16"/>
  <c r="J45" i="16"/>
  <c r="K190" i="16"/>
  <c r="AJ66" i="9"/>
  <c r="AI66" i="9"/>
  <c r="AJ331" i="9"/>
  <c r="AI331" i="9"/>
  <c r="L448" i="9"/>
  <c r="U422" i="9"/>
  <c r="T434" i="9"/>
  <c r="R418" i="9"/>
  <c r="R434" i="9"/>
  <c r="J418" i="9"/>
  <c r="U46" i="9"/>
  <c r="U439" i="9"/>
  <c r="J448" i="9"/>
  <c r="J434" i="9"/>
  <c r="T418" i="9"/>
  <c r="P418" i="9"/>
  <c r="U442" i="9"/>
  <c r="U50" i="9"/>
  <c r="U440" i="9"/>
  <c r="Q448" i="9"/>
  <c r="U432" i="9"/>
  <c r="K434" i="9"/>
  <c r="Q434" i="9"/>
  <c r="U427" i="9"/>
  <c r="L418" i="9"/>
  <c r="O418" i="9"/>
  <c r="U438" i="9"/>
  <c r="K448" i="9"/>
  <c r="P448" i="9"/>
  <c r="N434" i="9"/>
  <c r="P434" i="9"/>
  <c r="Q418" i="9"/>
  <c r="N418" i="9"/>
  <c r="U48" i="9"/>
  <c r="U47" i="9"/>
  <c r="U441" i="9"/>
  <c r="S448" i="9"/>
  <c r="O448" i="9"/>
  <c r="L434" i="9"/>
  <c r="R448" i="9"/>
  <c r="U423" i="9"/>
  <c r="S434" i="9"/>
  <c r="O434" i="9"/>
  <c r="S418" i="9"/>
  <c r="M418" i="9"/>
  <c r="M448" i="9"/>
  <c r="N448" i="9"/>
  <c r="U51" i="9"/>
  <c r="U424" i="9"/>
  <c r="M434" i="9"/>
  <c r="K418" i="9"/>
  <c r="U49" i="9"/>
  <c r="T448" i="9"/>
  <c r="U349" i="9"/>
  <c r="U342" i="9"/>
  <c r="U393" i="9"/>
  <c r="U368" i="9"/>
  <c r="U344" i="9"/>
  <c r="U328" i="9"/>
  <c r="AI423" i="9"/>
  <c r="U326" i="9"/>
  <c r="U337" i="9"/>
  <c r="U291" i="9"/>
  <c r="U275" i="9"/>
  <c r="U389" i="9"/>
  <c r="U266" i="9"/>
  <c r="U286" i="9"/>
  <c r="U307" i="9"/>
  <c r="U324" i="9"/>
  <c r="U269" i="9"/>
  <c r="U300" i="9"/>
  <c r="U293" i="9"/>
  <c r="U277" i="9"/>
  <c r="U295" i="9"/>
  <c r="U304" i="9"/>
  <c r="U406" i="9"/>
  <c r="U288" i="9"/>
  <c r="U319" i="9"/>
  <c r="AI422" i="9"/>
  <c r="U374" i="9"/>
  <c r="U366" i="9"/>
  <c r="U376" i="9"/>
  <c r="U411" i="9"/>
  <c r="U302" i="9"/>
  <c r="U335" i="9"/>
  <c r="U355" i="9"/>
  <c r="U341" i="9"/>
  <c r="U245" i="9"/>
  <c r="U329" i="9"/>
  <c r="U345" i="9"/>
  <c r="U276" i="9"/>
  <c r="U281" i="9"/>
  <c r="U330" i="9"/>
  <c r="U303" i="9"/>
  <c r="U278" i="9"/>
  <c r="U409" i="9"/>
  <c r="U299" i="9"/>
  <c r="U336" i="9"/>
  <c r="U338" i="9"/>
  <c r="U343" i="9"/>
  <c r="U325" i="9"/>
  <c r="U305" i="9"/>
  <c r="U265" i="9"/>
  <c r="U377" i="9"/>
  <c r="U279" i="9"/>
  <c r="U410" i="9"/>
  <c r="U315" i="9"/>
  <c r="U204" i="9"/>
  <c r="U396" i="9"/>
  <c r="U311" i="9"/>
  <c r="U401" i="9"/>
  <c r="U400" i="9"/>
  <c r="U339" i="9"/>
  <c r="U357" i="9"/>
  <c r="U390" i="9"/>
  <c r="U268" i="9"/>
  <c r="U421" i="9"/>
  <c r="U270" i="9"/>
  <c r="U292" i="9"/>
  <c r="U260" i="9"/>
  <c r="U273" i="9"/>
  <c r="U298" i="9"/>
  <c r="U451" i="9"/>
  <c r="U66" i="9"/>
  <c r="U395" i="9"/>
  <c r="U388" i="9"/>
  <c r="U290" i="9"/>
  <c r="U262" i="9"/>
  <c r="U415" i="9"/>
  <c r="U340" i="9"/>
  <c r="U296" i="9"/>
  <c r="U331" i="9"/>
  <c r="U437" i="9"/>
  <c r="U308" i="9"/>
  <c r="U350" i="9"/>
  <c r="U283" i="9"/>
  <c r="U322" i="9"/>
  <c r="U264" i="9"/>
  <c r="U284" i="9"/>
  <c r="U301" i="9"/>
  <c r="U285" i="9"/>
  <c r="U413" i="9"/>
  <c r="U294" i="9"/>
  <c r="U313" i="9"/>
  <c r="U261" i="9"/>
  <c r="U321" i="9"/>
  <c r="U287" i="9"/>
  <c r="U267" i="9"/>
  <c r="U391" i="9"/>
  <c r="U407" i="9"/>
  <c r="U375" i="9"/>
  <c r="U116" i="9"/>
  <c r="U327" i="9"/>
  <c r="U402" i="9"/>
  <c r="U289" i="9"/>
  <c r="U332" i="9"/>
  <c r="U356" i="9"/>
  <c r="U354" i="9"/>
  <c r="U347" i="9"/>
  <c r="AI424" i="9"/>
  <c r="AS424" i="9" s="1"/>
  <c r="AM44" i="7"/>
  <c r="AO44" i="7"/>
  <c r="AQ44" i="7"/>
  <c r="AO42" i="7"/>
  <c r="AQ42" i="7"/>
  <c r="AM42" i="7"/>
  <c r="AU392" i="9"/>
  <c r="AQ392" i="9"/>
  <c r="AH22" i="18"/>
  <c r="AO22" i="18" s="1"/>
  <c r="AH20" i="18"/>
  <c r="AQ20" i="18" s="1"/>
  <c r="I68" i="16"/>
  <c r="AI304" i="9"/>
  <c r="AI298" i="9"/>
  <c r="AI307" i="9"/>
  <c r="AI303" i="9"/>
  <c r="T166" i="6"/>
  <c r="P166" i="6"/>
  <c r="L166" i="6"/>
  <c r="S166" i="6"/>
  <c r="O166" i="6"/>
  <c r="R166" i="6"/>
  <c r="N166" i="6"/>
  <c r="Q166" i="6"/>
  <c r="M166" i="6"/>
  <c r="I166" i="6"/>
  <c r="I61" i="16"/>
  <c r="I222" i="16"/>
  <c r="I233" i="16"/>
  <c r="I210" i="16"/>
  <c r="AH103" i="9"/>
  <c r="AD103" i="9"/>
  <c r="Z103" i="9"/>
  <c r="AG103" i="9"/>
  <c r="AC103" i="9"/>
  <c r="AF103" i="9"/>
  <c r="AB103" i="9"/>
  <c r="AE103" i="9"/>
  <c r="AA103" i="9"/>
  <c r="J453" i="9"/>
  <c r="O453" i="9"/>
  <c r="T453" i="9"/>
  <c r="N453" i="9"/>
  <c r="S453" i="9"/>
  <c r="I453" i="9"/>
  <c r="I448" i="9"/>
  <c r="I434" i="9"/>
  <c r="R453" i="9"/>
  <c r="L453" i="9"/>
  <c r="M453" i="9"/>
  <c r="K453" i="9"/>
  <c r="P453" i="9"/>
  <c r="Q453" i="9"/>
  <c r="Q43" i="33"/>
  <c r="P361" i="9"/>
  <c r="I80" i="16"/>
  <c r="N361" i="9"/>
  <c r="K361" i="9"/>
  <c r="T361" i="9"/>
  <c r="O361" i="9"/>
  <c r="R361" i="9"/>
  <c r="M361" i="9"/>
  <c r="Q361" i="9"/>
  <c r="I418" i="9"/>
  <c r="I190" i="16"/>
  <c r="I140" i="16"/>
  <c r="W140" i="16" s="1"/>
  <c r="S361" i="9"/>
  <c r="J361" i="9"/>
  <c r="L361" i="9"/>
  <c r="I45" i="16"/>
  <c r="D6" i="3"/>
  <c r="I11" i="3"/>
  <c r="I16" i="3" s="1"/>
  <c r="T221" i="5"/>
  <c r="T224" i="5" s="1"/>
  <c r="S9" i="1"/>
  <c r="S72" i="1" s="1"/>
  <c r="S270" i="1"/>
  <c r="S281" i="1" s="1"/>
  <c r="T48" i="5"/>
  <c r="T65" i="5" s="1"/>
  <c r="B44" i="6"/>
  <c r="B42" i="6"/>
  <c r="B159" i="6"/>
  <c r="B153" i="6"/>
  <c r="B152" i="6"/>
  <c r="B145" i="6"/>
  <c r="B144" i="6"/>
  <c r="B143" i="6"/>
  <c r="B142" i="6"/>
  <c r="B134" i="6"/>
  <c r="B127" i="6"/>
  <c r="B126" i="6"/>
  <c r="B121" i="6"/>
  <c r="B58" i="6"/>
  <c r="B51" i="6"/>
  <c r="B40" i="6"/>
  <c r="B39" i="6"/>
  <c r="AI109" i="16" l="1"/>
  <c r="AJ113" i="16"/>
  <c r="AJ112" i="16"/>
  <c r="AI188" i="16"/>
  <c r="AI112" i="16"/>
  <c r="AJ341" i="9"/>
  <c r="AI341" i="9"/>
  <c r="AJ137" i="16"/>
  <c r="AJ90" i="16"/>
  <c r="AJ14" i="16"/>
  <c r="AI137" i="16"/>
  <c r="AI90" i="16"/>
  <c r="AI14" i="16"/>
  <c r="AI115" i="16"/>
  <c r="AH210" i="16"/>
  <c r="AI23" i="16"/>
  <c r="AT23" i="16" s="1"/>
  <c r="AJ99" i="16"/>
  <c r="AI124" i="16"/>
  <c r="AJ124" i="16"/>
  <c r="AD210" i="16"/>
  <c r="AI99" i="16"/>
  <c r="AF210" i="16"/>
  <c r="AB210" i="16"/>
  <c r="AC210" i="16"/>
  <c r="AA210" i="16"/>
  <c r="AI87" i="16"/>
  <c r="AT87" i="16" s="1"/>
  <c r="AI181" i="16"/>
  <c r="AJ97" i="16"/>
  <c r="AI103" i="16"/>
  <c r="AJ18" i="16"/>
  <c r="AJ103" i="16"/>
  <c r="AI97" i="16"/>
  <c r="AP97" i="16" s="1"/>
  <c r="AJ181" i="16"/>
  <c r="AI108" i="16"/>
  <c r="AT108" i="16" s="1"/>
  <c r="AJ290" i="9"/>
  <c r="AJ278" i="9"/>
  <c r="AJ264" i="9"/>
  <c r="AJ305" i="9"/>
  <c r="AJ287" i="9"/>
  <c r="AJ275" i="9"/>
  <c r="AJ293" i="9"/>
  <c r="AJ300" i="9"/>
  <c r="AJ322" i="9"/>
  <c r="AJ279" i="9"/>
  <c r="AJ281" i="9"/>
  <c r="AJ321" i="9"/>
  <c r="AJ283" i="9"/>
  <c r="AJ291" i="9"/>
  <c r="AJ313" i="9"/>
  <c r="AJ296" i="9"/>
  <c r="AJ311" i="9"/>
  <c r="AJ292" i="9"/>
  <c r="AJ273" i="9"/>
  <c r="AJ295" i="9"/>
  <c r="AJ285" i="9"/>
  <c r="AJ277" i="9"/>
  <c r="AJ289" i="9"/>
  <c r="AJ276" i="9"/>
  <c r="AJ302" i="9"/>
  <c r="AJ284" i="9"/>
  <c r="AJ288" i="9"/>
  <c r="AJ319" i="9"/>
  <c r="AJ286" i="9"/>
  <c r="AJ301" i="9"/>
  <c r="AJ299" i="9"/>
  <c r="AJ315" i="9"/>
  <c r="AJ269" i="9"/>
  <c r="AJ294" i="9"/>
  <c r="AJ270" i="9"/>
  <c r="AJ265" i="9"/>
  <c r="AJ267" i="9"/>
  <c r="AJ266" i="9"/>
  <c r="AJ262" i="9"/>
  <c r="AJ268" i="9"/>
  <c r="AJ261" i="9"/>
  <c r="AB78" i="7"/>
  <c r="Z78" i="7"/>
  <c r="AH78" i="7"/>
  <c r="AI12" i="16"/>
  <c r="AJ51" i="16"/>
  <c r="AI51" i="16"/>
  <c r="AT51" i="16" s="1"/>
  <c r="AI18" i="16"/>
  <c r="AP18" i="16" s="1"/>
  <c r="AI17" i="16"/>
  <c r="AR17" i="16" s="1"/>
  <c r="AI15" i="16"/>
  <c r="AR15" i="16" s="1"/>
  <c r="AI30" i="16"/>
  <c r="AI13" i="16"/>
  <c r="AP13" i="16" s="1"/>
  <c r="AI38" i="16"/>
  <c r="AI29" i="16"/>
  <c r="AI27" i="16"/>
  <c r="AJ149" i="16"/>
  <c r="AI151" i="16"/>
  <c r="AT151" i="16" s="1"/>
  <c r="AJ87" i="16"/>
  <c r="AJ98" i="16"/>
  <c r="AI149" i="16"/>
  <c r="AP149" i="16" s="1"/>
  <c r="AJ151" i="16"/>
  <c r="AI98" i="16"/>
  <c r="AI205" i="16"/>
  <c r="AR205" i="16" s="1"/>
  <c r="AJ205" i="16"/>
  <c r="AJ136" i="7"/>
  <c r="Y78" i="7"/>
  <c r="AE78" i="7"/>
  <c r="AJ13" i="16"/>
  <c r="AC45" i="16"/>
  <c r="AI175" i="16"/>
  <c r="Y45" i="16"/>
  <c r="AJ114" i="16"/>
  <c r="AJ152" i="16"/>
  <c r="AI152" i="16"/>
  <c r="AP152" i="16" s="1"/>
  <c r="AJ107" i="16"/>
  <c r="AI94" i="16"/>
  <c r="AN94" i="16" s="1"/>
  <c r="AI147" i="16"/>
  <c r="AT147" i="16" s="1"/>
  <c r="AD45" i="16"/>
  <c r="AJ15" i="16"/>
  <c r="AI107" i="16"/>
  <c r="AT107" i="16" s="1"/>
  <c r="AJ94" i="16"/>
  <c r="AJ175" i="16"/>
  <c r="AI114" i="16"/>
  <c r="AE45" i="16"/>
  <c r="AJ146" i="16"/>
  <c r="AJ88" i="16"/>
  <c r="AJ29" i="16"/>
  <c r="AJ347" i="9"/>
  <c r="AA51" i="7"/>
  <c r="AD78" i="7"/>
  <c r="AA78" i="7"/>
  <c r="X51" i="7"/>
  <c r="AF51" i="7"/>
  <c r="O103" i="9"/>
  <c r="M103" i="9"/>
  <c r="Q103" i="9"/>
  <c r="I121" i="9"/>
  <c r="I103" i="9"/>
  <c r="S103" i="9"/>
  <c r="I257" i="9"/>
  <c r="L103" i="9"/>
  <c r="P103" i="9"/>
  <c r="T103" i="9"/>
  <c r="N103" i="9"/>
  <c r="W12" i="9"/>
  <c r="R103" i="9"/>
  <c r="AI326" i="9"/>
  <c r="AJ326" i="9"/>
  <c r="AJ407" i="9"/>
  <c r="AI347" i="9"/>
  <c r="AI407" i="9"/>
  <c r="AI322" i="9"/>
  <c r="AJ415" i="9"/>
  <c r="AJ329" i="9"/>
  <c r="AI329" i="9"/>
  <c r="AI349" i="9"/>
  <c r="AJ330" i="9"/>
  <c r="AJ356" i="9"/>
  <c r="AJ368" i="9"/>
  <c r="AJ374" i="9"/>
  <c r="AJ354" i="9"/>
  <c r="AJ342" i="9"/>
  <c r="AI415" i="9"/>
  <c r="AJ396" i="9"/>
  <c r="AJ337" i="9"/>
  <c r="AI401" i="9"/>
  <c r="AJ344" i="9"/>
  <c r="AI337" i="9"/>
  <c r="AI342" i="9"/>
  <c r="AI356" i="9"/>
  <c r="AJ401" i="9"/>
  <c r="AI395" i="9"/>
  <c r="AJ349" i="9"/>
  <c r="AJ343" i="9"/>
  <c r="AJ340" i="9"/>
  <c r="AJ411" i="9"/>
  <c r="AJ345" i="9"/>
  <c r="AI332" i="9"/>
  <c r="AI396" i="9"/>
  <c r="AJ204" i="9"/>
  <c r="AI330" i="9"/>
  <c r="AJ402" i="9"/>
  <c r="AI374" i="9"/>
  <c r="AI354" i="9"/>
  <c r="AI411" i="9"/>
  <c r="AJ376" i="9"/>
  <c r="AI410" i="9"/>
  <c r="AJ336" i="9"/>
  <c r="AI344" i="9"/>
  <c r="AI345" i="9"/>
  <c r="AI327" i="9"/>
  <c r="AI340" i="9"/>
  <c r="AJ410" i="9"/>
  <c r="AI376" i="9"/>
  <c r="AI204" i="9"/>
  <c r="AQ204" i="9" s="1"/>
  <c r="AI402" i="9"/>
  <c r="AJ357" i="9"/>
  <c r="AJ335" i="9"/>
  <c r="AI336" i="9"/>
  <c r="AJ332" i="9"/>
  <c r="AI343" i="9"/>
  <c r="AI357" i="9"/>
  <c r="AJ324" i="9"/>
  <c r="AJ409" i="9"/>
  <c r="AJ245" i="9"/>
  <c r="AJ339" i="9"/>
  <c r="AJ350" i="9"/>
  <c r="AI375" i="9"/>
  <c r="AJ400" i="9"/>
  <c r="AJ413" i="9"/>
  <c r="AJ328" i="9"/>
  <c r="AJ355" i="9"/>
  <c r="AJ377" i="9"/>
  <c r="AJ338" i="9"/>
  <c r="AJ366" i="9"/>
  <c r="AI409" i="9"/>
  <c r="AJ327" i="9"/>
  <c r="AI324" i="9"/>
  <c r="AS324" i="9" s="1"/>
  <c r="AI366" i="9"/>
  <c r="AJ375" i="9"/>
  <c r="AI335" i="9"/>
  <c r="AI328" i="9"/>
  <c r="AI245" i="9"/>
  <c r="AI368" i="9"/>
  <c r="AI355" i="9"/>
  <c r="AJ395" i="9"/>
  <c r="AI413" i="9"/>
  <c r="AI339" i="9"/>
  <c r="AI400" i="9"/>
  <c r="AI377" i="9"/>
  <c r="AI350" i="9"/>
  <c r="AI338" i="9"/>
  <c r="AJ147" i="16"/>
  <c r="W45" i="16"/>
  <c r="AG45" i="16"/>
  <c r="AF45" i="16"/>
  <c r="AJ105" i="16"/>
  <c r="AI91" i="16"/>
  <c r="AT91" i="16" s="1"/>
  <c r="AJ182" i="16"/>
  <c r="AJ122" i="16"/>
  <c r="AI159" i="16"/>
  <c r="AT159" i="16" s="1"/>
  <c r="AI88" i="16"/>
  <c r="AN88" i="16" s="1"/>
  <c r="AI138" i="16"/>
  <c r="AJ155" i="16"/>
  <c r="AI122" i="16"/>
  <c r="AJ91" i="16"/>
  <c r="AI182" i="16"/>
  <c r="AJ128" i="16"/>
  <c r="AJ159" i="16"/>
  <c r="AI153" i="16"/>
  <c r="AT153" i="16" s="1"/>
  <c r="AJ89" i="16"/>
  <c r="AI146" i="16"/>
  <c r="AP146" i="16" s="1"/>
  <c r="AI102" i="16"/>
  <c r="AN102" i="16" s="1"/>
  <c r="AJ153" i="16"/>
  <c r="AJ102" i="16"/>
  <c r="AJ138" i="16"/>
  <c r="AG190" i="16"/>
  <c r="AH190" i="16"/>
  <c r="AF190" i="16"/>
  <c r="AB190" i="16"/>
  <c r="Y190" i="16"/>
  <c r="AI105" i="16"/>
  <c r="AP105" i="16" s="1"/>
  <c r="W190" i="16"/>
  <c r="AA190" i="16"/>
  <c r="AD190" i="16"/>
  <c r="AI155" i="16"/>
  <c r="AR155" i="16" s="1"/>
  <c r="AC190" i="16"/>
  <c r="AI104" i="16"/>
  <c r="AR104" i="16" s="1"/>
  <c r="AJ176" i="16"/>
  <c r="AJ38" i="16"/>
  <c r="AJ207" i="16"/>
  <c r="AJ104" i="16"/>
  <c r="AJ196" i="16"/>
  <c r="AI207" i="16"/>
  <c r="AI176" i="16"/>
  <c r="AI195" i="16"/>
  <c r="AJ195" i="16"/>
  <c r="AI89" i="16"/>
  <c r="AT89" i="16" s="1"/>
  <c r="AI196" i="16"/>
  <c r="AJ203" i="16"/>
  <c r="AI119" i="16"/>
  <c r="AI186" i="16"/>
  <c r="AJ158" i="16"/>
  <c r="AJ197" i="16"/>
  <c r="X190" i="16"/>
  <c r="AJ133" i="16"/>
  <c r="Z190" i="16"/>
  <c r="AI206" i="16"/>
  <c r="AJ126" i="16"/>
  <c r="AI133" i="16"/>
  <c r="AI213" i="16"/>
  <c r="AT213" i="16" s="1"/>
  <c r="AJ93" i="16"/>
  <c r="AI197" i="16"/>
  <c r="AJ206" i="16"/>
  <c r="AI128" i="16"/>
  <c r="AF222" i="16"/>
  <c r="AI126" i="16"/>
  <c r="AJ119" i="16"/>
  <c r="AI93" i="16"/>
  <c r="AR93" i="16" s="1"/>
  <c r="AJ30" i="16"/>
  <c r="AI158" i="16"/>
  <c r="AR158" i="16" s="1"/>
  <c r="AE190" i="16"/>
  <c r="AJ213" i="16"/>
  <c r="AJ222" i="16" s="1"/>
  <c r="AI64" i="16"/>
  <c r="AI203" i="16"/>
  <c r="AR203" i="16" s="1"/>
  <c r="Z210" i="16"/>
  <c r="AM23" i="18"/>
  <c r="AO23" i="18"/>
  <c r="X45" i="16"/>
  <c r="AM19" i="18"/>
  <c r="AB45" i="16"/>
  <c r="AA45" i="16"/>
  <c r="AC80" i="16"/>
  <c r="Y80" i="16"/>
  <c r="AI39" i="18"/>
  <c r="Z45" i="16"/>
  <c r="AD80" i="16"/>
  <c r="AJ96" i="16"/>
  <c r="AJ186" i="16"/>
  <c r="AH228" i="7"/>
  <c r="AI116" i="9"/>
  <c r="X80" i="16"/>
  <c r="Z418" i="9"/>
  <c r="AJ17" i="16"/>
  <c r="AJ155" i="7"/>
  <c r="AD361" i="9"/>
  <c r="Z80" i="16"/>
  <c r="AB228" i="7"/>
  <c r="AC228" i="7"/>
  <c r="AA228" i="7"/>
  <c r="AB361" i="9"/>
  <c r="AJ388" i="9"/>
  <c r="AJ393" i="9"/>
  <c r="AB418" i="9"/>
  <c r="AE361" i="9"/>
  <c r="AI308" i="9"/>
  <c r="AS308" i="9" s="1"/>
  <c r="AA80" i="16"/>
  <c r="AI143" i="16"/>
  <c r="AJ197" i="7"/>
  <c r="AI197" i="7"/>
  <c r="AF228" i="7"/>
  <c r="AE228" i="7"/>
  <c r="AJ389" i="9"/>
  <c r="AM18" i="18"/>
  <c r="AH39" i="18"/>
  <c r="J13" i="64" s="1"/>
  <c r="AU325" i="9"/>
  <c r="AS325" i="9"/>
  <c r="AQ325" i="9"/>
  <c r="AO325" i="9"/>
  <c r="AJ434" i="9"/>
  <c r="AI155" i="7"/>
  <c r="AJ153" i="7"/>
  <c r="AI153" i="7"/>
  <c r="X228" i="7"/>
  <c r="Y228" i="7"/>
  <c r="Z361" i="9"/>
  <c r="AJ23" i="16"/>
  <c r="AJ218" i="7"/>
  <c r="AI218" i="7"/>
  <c r="AJ224" i="7"/>
  <c r="AI224" i="7"/>
  <c r="AC361" i="9"/>
  <c r="AF361" i="9"/>
  <c r="AC418" i="9"/>
  <c r="AJ427" i="9"/>
  <c r="AI427" i="9"/>
  <c r="AU427" i="9" s="1"/>
  <c r="AJ390" i="9"/>
  <c r="AI196" i="7"/>
  <c r="Z228" i="7"/>
  <c r="AG228" i="7"/>
  <c r="AD418" i="9"/>
  <c r="AH418" i="9"/>
  <c r="AI195" i="7"/>
  <c r="AI200" i="7"/>
  <c r="AG361" i="9"/>
  <c r="AG418" i="9"/>
  <c r="AA418" i="9"/>
  <c r="AF418" i="9"/>
  <c r="AJ196" i="7"/>
  <c r="AD228" i="7"/>
  <c r="Y361" i="9"/>
  <c r="X361" i="9"/>
  <c r="AH361" i="9"/>
  <c r="AA361" i="9"/>
  <c r="AJ86" i="16"/>
  <c r="AI96" i="16"/>
  <c r="AN96" i="16" s="1"/>
  <c r="AJ195" i="7"/>
  <c r="AJ200" i="7"/>
  <c r="AI223" i="7"/>
  <c r="W228" i="7"/>
  <c r="AJ223" i="7"/>
  <c r="Y418" i="9"/>
  <c r="AE418" i="9"/>
  <c r="X418" i="9"/>
  <c r="AJ391" i="9"/>
  <c r="AO19" i="18"/>
  <c r="AQ18" i="18"/>
  <c r="AO18" i="18"/>
  <c r="AJ27" i="16"/>
  <c r="AJ72" i="16"/>
  <c r="AJ143" i="16"/>
  <c r="AF61" i="16"/>
  <c r="AH45" i="16"/>
  <c r="AH61" i="16"/>
  <c r="W61" i="16"/>
  <c r="AJ95" i="16"/>
  <c r="AI95" i="16"/>
  <c r="AT95" i="16" s="1"/>
  <c r="W68" i="16"/>
  <c r="AJ64" i="16"/>
  <c r="AJ68" i="16" s="1"/>
  <c r="AI86" i="16"/>
  <c r="AN86" i="16" s="1"/>
  <c r="AJ110" i="16"/>
  <c r="AI110" i="16"/>
  <c r="AP110" i="16" s="1"/>
  <c r="AJ40" i="16"/>
  <c r="AR98" i="16"/>
  <c r="AN150" i="16"/>
  <c r="AR156" i="16"/>
  <c r="AI72" i="16"/>
  <c r="AN72" i="16" s="1"/>
  <c r="AT204" i="16"/>
  <c r="AR22" i="16"/>
  <c r="AR103" i="16"/>
  <c r="AP14" i="16"/>
  <c r="W210" i="16"/>
  <c r="AN16" i="16"/>
  <c r="AR19" i="16"/>
  <c r="U140" i="16"/>
  <c r="U210" i="16"/>
  <c r="U222" i="16"/>
  <c r="U61" i="16"/>
  <c r="U233" i="16"/>
  <c r="U80" i="16"/>
  <c r="U190" i="16"/>
  <c r="AJ116" i="9"/>
  <c r="AI60" i="9"/>
  <c r="AJ167" i="9"/>
  <c r="AI167" i="9"/>
  <c r="AJ231" i="9"/>
  <c r="AI231" i="9"/>
  <c r="AJ234" i="9"/>
  <c r="AI234" i="9"/>
  <c r="AJ119" i="9"/>
  <c r="AI119" i="9"/>
  <c r="AJ134" i="9"/>
  <c r="AI134" i="9"/>
  <c r="AJ45" i="9"/>
  <c r="AI62" i="9"/>
  <c r="AI45" i="9"/>
  <c r="AI54" i="9"/>
  <c r="AJ54" i="9"/>
  <c r="AJ55" i="9"/>
  <c r="AI65" i="9"/>
  <c r="AJ65" i="9"/>
  <c r="AJ59" i="9"/>
  <c r="AI55" i="9"/>
  <c r="AI59" i="9"/>
  <c r="AI56" i="9"/>
  <c r="AI52" i="9"/>
  <c r="AJ56" i="9"/>
  <c r="AI58" i="9"/>
  <c r="AJ58" i="9"/>
  <c r="AI53" i="9"/>
  <c r="AJ53" i="9"/>
  <c r="AJ52" i="9"/>
  <c r="AI61" i="9"/>
  <c r="AJ61" i="9"/>
  <c r="AI319" i="9"/>
  <c r="AS319" i="9" s="1"/>
  <c r="AI321" i="9"/>
  <c r="AS321" i="9" s="1"/>
  <c r="U434" i="9"/>
  <c r="AI421" i="9"/>
  <c r="U418" i="9"/>
  <c r="U448" i="9"/>
  <c r="U38" i="9"/>
  <c r="U32" i="9"/>
  <c r="U41" i="9"/>
  <c r="U28" i="9"/>
  <c r="U234" i="9"/>
  <c r="U236" i="9"/>
  <c r="U239" i="9"/>
  <c r="U145" i="9"/>
  <c r="U184" i="9"/>
  <c r="U180" i="9"/>
  <c r="U119" i="9"/>
  <c r="U164" i="9"/>
  <c r="U152" i="9"/>
  <c r="U13" i="9"/>
  <c r="U193" i="9"/>
  <c r="U132" i="9"/>
  <c r="U153" i="9"/>
  <c r="U74" i="9"/>
  <c r="U160" i="9"/>
  <c r="U181" i="9"/>
  <c r="U203" i="9"/>
  <c r="U137" i="9"/>
  <c r="U154" i="9"/>
  <c r="U232" i="9"/>
  <c r="U167" i="9"/>
  <c r="U143" i="9"/>
  <c r="U75" i="9"/>
  <c r="U138" i="9"/>
  <c r="U219" i="9"/>
  <c r="U158" i="9"/>
  <c r="U231" i="9"/>
  <c r="U150" i="9"/>
  <c r="U212" i="9"/>
  <c r="U246" i="9"/>
  <c r="U172" i="9"/>
  <c r="U208" i="9"/>
  <c r="U131" i="9"/>
  <c r="U81" i="9"/>
  <c r="U225" i="9"/>
  <c r="U134" i="9"/>
  <c r="U43" i="9"/>
  <c r="U202" i="9"/>
  <c r="U165" i="9"/>
  <c r="U235" i="9"/>
  <c r="U226" i="9"/>
  <c r="U213" i="9"/>
  <c r="U173" i="9"/>
  <c r="U199" i="9"/>
  <c r="U192" i="9"/>
  <c r="U14" i="9"/>
  <c r="U73" i="9"/>
  <c r="U37" i="9"/>
  <c r="U39" i="9"/>
  <c r="U56" i="9"/>
  <c r="U58" i="9"/>
  <c r="U33" i="9"/>
  <c r="U60" i="9"/>
  <c r="U53" i="9"/>
  <c r="U62" i="9"/>
  <c r="U52" i="9"/>
  <c r="U61" i="9"/>
  <c r="U22" i="9"/>
  <c r="U118" i="9"/>
  <c r="U227" i="9"/>
  <c r="U126" i="9"/>
  <c r="U228" i="9"/>
  <c r="U141" i="9"/>
  <c r="U128" i="9"/>
  <c r="U194" i="9"/>
  <c r="U166" i="9"/>
  <c r="U142" i="9"/>
  <c r="U163" i="9"/>
  <c r="U230" i="9"/>
  <c r="U210" i="9"/>
  <c r="U171" i="9"/>
  <c r="U79" i="9"/>
  <c r="U191" i="9"/>
  <c r="U211" i="9"/>
  <c r="U144" i="9"/>
  <c r="U200" i="9"/>
  <c r="U190" i="9"/>
  <c r="U129" i="9"/>
  <c r="U148" i="9"/>
  <c r="U221" i="9"/>
  <c r="U201" i="9"/>
  <c r="U175" i="9"/>
  <c r="U45" i="9"/>
  <c r="U30" i="9"/>
  <c r="U34" i="9"/>
  <c r="U21" i="9"/>
  <c r="U36" i="9"/>
  <c r="U217" i="9"/>
  <c r="U176" i="9"/>
  <c r="U156" i="9"/>
  <c r="U178" i="9"/>
  <c r="U238" i="9"/>
  <c r="U197" i="9"/>
  <c r="U170" i="9"/>
  <c r="U76" i="9"/>
  <c r="U198" i="9"/>
  <c r="U186" i="9"/>
  <c r="U162" i="9"/>
  <c r="U80" i="9"/>
  <c r="U214" i="9"/>
  <c r="U140" i="9"/>
  <c r="U177" i="9"/>
  <c r="U206" i="9"/>
  <c r="U100" i="9"/>
  <c r="U103" i="9" s="1"/>
  <c r="U229" i="9"/>
  <c r="U218" i="9"/>
  <c r="U220" i="9"/>
  <c r="U183" i="9"/>
  <c r="U195" i="9"/>
  <c r="U247" i="9"/>
  <c r="U54" i="9"/>
  <c r="U63" i="9"/>
  <c r="U29" i="9"/>
  <c r="U44" i="9"/>
  <c r="U35" i="9"/>
  <c r="U55" i="9"/>
  <c r="U65" i="9"/>
  <c r="U31" i="9"/>
  <c r="U42" i="9"/>
  <c r="U59" i="9"/>
  <c r="U20" i="9"/>
  <c r="U40" i="9"/>
  <c r="U130" i="9"/>
  <c r="AI268" i="9"/>
  <c r="AS268" i="9" s="1"/>
  <c r="AI281" i="9"/>
  <c r="AO281" i="9" s="1"/>
  <c r="AI299" i="9"/>
  <c r="AQ299" i="9" s="1"/>
  <c r="AI288" i="9"/>
  <c r="AQ288" i="9" s="1"/>
  <c r="AI287" i="9"/>
  <c r="AO287" i="9" s="1"/>
  <c r="AI294" i="9"/>
  <c r="AQ294" i="9" s="1"/>
  <c r="AI266" i="9"/>
  <c r="AO266" i="9" s="1"/>
  <c r="AI273" i="9"/>
  <c r="AS273" i="9" s="1"/>
  <c r="AI292" i="9"/>
  <c r="AU292" i="9" s="1"/>
  <c r="AI289" i="9"/>
  <c r="AU289" i="9" s="1"/>
  <c r="AI311" i="9"/>
  <c r="AU311" i="9" s="1"/>
  <c r="AI295" i="9"/>
  <c r="AU295" i="9" s="1"/>
  <c r="O96" i="9"/>
  <c r="L121" i="9"/>
  <c r="N121" i="9"/>
  <c r="T96" i="9"/>
  <c r="R70" i="9"/>
  <c r="K121" i="9"/>
  <c r="T121" i="9"/>
  <c r="L96" i="9"/>
  <c r="P70" i="9"/>
  <c r="J70" i="9"/>
  <c r="J121" i="9"/>
  <c r="Q121" i="9"/>
  <c r="S96" i="9"/>
  <c r="O70" i="9"/>
  <c r="Q70" i="9"/>
  <c r="S121" i="9"/>
  <c r="Q96" i="9"/>
  <c r="K96" i="9"/>
  <c r="N70" i="9"/>
  <c r="T70" i="9"/>
  <c r="R121" i="9"/>
  <c r="P96" i="9"/>
  <c r="R96" i="9"/>
  <c r="M70" i="9"/>
  <c r="P121" i="9"/>
  <c r="J96" i="9"/>
  <c r="L70" i="9"/>
  <c r="O121" i="9"/>
  <c r="N96" i="9"/>
  <c r="S70" i="9"/>
  <c r="M121" i="9"/>
  <c r="M96" i="9"/>
  <c r="K70" i="9"/>
  <c r="T240" i="7"/>
  <c r="P51" i="7"/>
  <c r="T220" i="7"/>
  <c r="T78" i="7"/>
  <c r="K240" i="7"/>
  <c r="O123" i="7"/>
  <c r="J123" i="7"/>
  <c r="P228" i="7"/>
  <c r="O180" i="7"/>
  <c r="J180" i="7"/>
  <c r="T51" i="7"/>
  <c r="M64" i="7"/>
  <c r="P240" i="7"/>
  <c r="O240" i="7"/>
  <c r="S123" i="7"/>
  <c r="N123" i="7"/>
  <c r="N180" i="7"/>
  <c r="O51" i="7"/>
  <c r="K64" i="7"/>
  <c r="Q64" i="7"/>
  <c r="M220" i="7"/>
  <c r="M78" i="7"/>
  <c r="S240" i="7"/>
  <c r="L123" i="7"/>
  <c r="R123" i="7"/>
  <c r="M228" i="7"/>
  <c r="Q180" i="7"/>
  <c r="R180" i="7"/>
  <c r="Q51" i="7"/>
  <c r="M51" i="7"/>
  <c r="S51" i="7"/>
  <c r="O64" i="7"/>
  <c r="J64" i="7"/>
  <c r="K220" i="7"/>
  <c r="Q220" i="7"/>
  <c r="K78" i="7"/>
  <c r="Q78" i="7"/>
  <c r="M240" i="7"/>
  <c r="P123" i="7"/>
  <c r="R228" i="7"/>
  <c r="Q228" i="7"/>
  <c r="K180" i="7"/>
  <c r="S64" i="7"/>
  <c r="N64" i="7"/>
  <c r="O220" i="7"/>
  <c r="J220" i="7"/>
  <c r="O78" i="7"/>
  <c r="J78" i="7"/>
  <c r="Q240" i="7"/>
  <c r="T123" i="7"/>
  <c r="J228" i="7"/>
  <c r="K228" i="7"/>
  <c r="S180" i="7"/>
  <c r="AI37" i="7"/>
  <c r="AJ37" i="7"/>
  <c r="N51" i="7"/>
  <c r="L64" i="7"/>
  <c r="R64" i="7"/>
  <c r="S220" i="7"/>
  <c r="N220" i="7"/>
  <c r="S78" i="7"/>
  <c r="N78" i="7"/>
  <c r="J240" i="7"/>
  <c r="I123" i="7"/>
  <c r="N228" i="7"/>
  <c r="O228" i="7"/>
  <c r="L180" i="7"/>
  <c r="R51" i="7"/>
  <c r="P64" i="7"/>
  <c r="L220" i="7"/>
  <c r="R220" i="7"/>
  <c r="L78" i="7"/>
  <c r="R78" i="7"/>
  <c r="N240" i="7"/>
  <c r="M123" i="7"/>
  <c r="L228" i="7"/>
  <c r="S228" i="7"/>
  <c r="P180" i="7"/>
  <c r="L51" i="7"/>
  <c r="T64" i="7"/>
  <c r="P220" i="7"/>
  <c r="P78" i="7"/>
  <c r="L240" i="7"/>
  <c r="R240" i="7"/>
  <c r="K123" i="7"/>
  <c r="Q123" i="7"/>
  <c r="T228" i="7"/>
  <c r="M180" i="7"/>
  <c r="T180" i="7"/>
  <c r="U75" i="7"/>
  <c r="X78" i="7"/>
  <c r="U76" i="7"/>
  <c r="U62" i="7"/>
  <c r="U64" i="7" s="1"/>
  <c r="AF78" i="7"/>
  <c r="AG78" i="7"/>
  <c r="U35" i="7"/>
  <c r="U34" i="7"/>
  <c r="U36" i="7"/>
  <c r="U30" i="7"/>
  <c r="U32" i="7"/>
  <c r="U49" i="7"/>
  <c r="U37" i="7"/>
  <c r="U28" i="7"/>
  <c r="U12" i="7"/>
  <c r="U26" i="7"/>
  <c r="U31" i="7"/>
  <c r="U29" i="7"/>
  <c r="U25" i="7"/>
  <c r="U33" i="7"/>
  <c r="U27" i="7"/>
  <c r="AI265" i="9"/>
  <c r="AQ265" i="9" s="1"/>
  <c r="AI285" i="9"/>
  <c r="AU285" i="9" s="1"/>
  <c r="AI264" i="9"/>
  <c r="AS264" i="9" s="1"/>
  <c r="AI305" i="9"/>
  <c r="AS305" i="9" s="1"/>
  <c r="AI262" i="9"/>
  <c r="AO262" i="9" s="1"/>
  <c r="AI301" i="9"/>
  <c r="AU301" i="9" s="1"/>
  <c r="AI269" i="9"/>
  <c r="AS269" i="9" s="1"/>
  <c r="AI291" i="9"/>
  <c r="AQ291" i="9" s="1"/>
  <c r="AJ81" i="6"/>
  <c r="AI81" i="6"/>
  <c r="AI278" i="9"/>
  <c r="AO278" i="9" s="1"/>
  <c r="AI267" i="9"/>
  <c r="AO267" i="9" s="1"/>
  <c r="AI279" i="9"/>
  <c r="AS279" i="9" s="1"/>
  <c r="AI277" i="9"/>
  <c r="AU277" i="9" s="1"/>
  <c r="AP99" i="16"/>
  <c r="AI290" i="9"/>
  <c r="AO290" i="9" s="1"/>
  <c r="AI261" i="9"/>
  <c r="AQ261" i="9" s="1"/>
  <c r="AI270" i="9"/>
  <c r="AU270" i="9" s="1"/>
  <c r="AI313" i="9"/>
  <c r="AQ313" i="9" s="1"/>
  <c r="AI393" i="9"/>
  <c r="AQ393" i="9" s="1"/>
  <c r="AI275" i="9"/>
  <c r="AS275" i="9" s="1"/>
  <c r="AI286" i="9"/>
  <c r="AU286" i="9" s="1"/>
  <c r="AI283" i="9"/>
  <c r="AS283" i="9" s="1"/>
  <c r="AP164" i="16"/>
  <c r="AI300" i="9"/>
  <c r="AU300" i="9" s="1"/>
  <c r="AQ22" i="18"/>
  <c r="AM22" i="18"/>
  <c r="AO424" i="9"/>
  <c r="AI302" i="9"/>
  <c r="AS302" i="9" s="1"/>
  <c r="AQ424" i="9"/>
  <c r="AM20" i="18"/>
  <c r="AO20" i="18"/>
  <c r="AI315" i="9"/>
  <c r="AS315" i="9" s="1"/>
  <c r="AJ12" i="16"/>
  <c r="AU424" i="9"/>
  <c r="AI293" i="9"/>
  <c r="AO293" i="9" s="1"/>
  <c r="AI284" i="9"/>
  <c r="AU284" i="9" s="1"/>
  <c r="AT160" i="16"/>
  <c r="AI296" i="9"/>
  <c r="AO296" i="9" s="1"/>
  <c r="AI276" i="9"/>
  <c r="AO276" i="9" s="1"/>
  <c r="AJ85" i="16"/>
  <c r="AO298" i="9"/>
  <c r="AU298" i="9"/>
  <c r="AQ298" i="9"/>
  <c r="AS298" i="9"/>
  <c r="AQ303" i="9"/>
  <c r="AO303" i="9"/>
  <c r="AU303" i="9"/>
  <c r="AS303" i="9"/>
  <c r="AQ422" i="9"/>
  <c r="AS422" i="9"/>
  <c r="AU422" i="9"/>
  <c r="AO422" i="9"/>
  <c r="AU423" i="9"/>
  <c r="AO423" i="9"/>
  <c r="AQ423" i="9"/>
  <c r="AS423" i="9"/>
  <c r="AO304" i="9"/>
  <c r="AU304" i="9"/>
  <c r="AS304" i="9"/>
  <c r="AQ304" i="9"/>
  <c r="AO307" i="9"/>
  <c r="AU307" i="9"/>
  <c r="AS307" i="9"/>
  <c r="AQ307" i="9"/>
  <c r="AN14" i="16"/>
  <c r="AN112" i="16"/>
  <c r="AT112" i="16"/>
  <c r="AR112" i="16"/>
  <c r="AP112" i="16"/>
  <c r="AN109" i="16"/>
  <c r="AT109" i="16"/>
  <c r="AR109" i="16"/>
  <c r="AP109" i="16"/>
  <c r="AR145" i="16"/>
  <c r="AP145" i="16"/>
  <c r="AT145" i="16"/>
  <c r="AN145" i="16"/>
  <c r="AR150" i="16"/>
  <c r="AT150" i="16"/>
  <c r="AT20" i="16"/>
  <c r="AR20" i="16"/>
  <c r="AN20" i="16"/>
  <c r="AP20" i="16"/>
  <c r="AN98" i="16"/>
  <c r="AT156" i="16"/>
  <c r="AT157" i="16"/>
  <c r="AR157" i="16"/>
  <c r="AP157" i="16"/>
  <c r="AN157" i="16"/>
  <c r="AT148" i="16"/>
  <c r="AP148" i="16"/>
  <c r="AR148" i="16"/>
  <c r="AN148" i="16"/>
  <c r="AN90" i="16"/>
  <c r="AT90" i="16"/>
  <c r="AR90" i="16"/>
  <c r="AP90" i="16"/>
  <c r="AR204" i="16"/>
  <c r="AT15" i="16"/>
  <c r="AT97" i="16"/>
  <c r="AP214" i="16"/>
  <c r="AN214" i="16"/>
  <c r="AR214" i="16"/>
  <c r="AT214" i="16"/>
  <c r="AR21" i="16"/>
  <c r="AP21" i="16"/>
  <c r="AT21" i="16"/>
  <c r="AN21" i="16"/>
  <c r="AR154" i="16"/>
  <c r="AP154" i="16"/>
  <c r="AN154" i="16"/>
  <c r="AT154" i="16"/>
  <c r="AT215" i="16"/>
  <c r="AR215" i="16"/>
  <c r="AP215" i="16"/>
  <c r="AN215" i="16"/>
  <c r="AR152" i="16"/>
  <c r="AT144" i="16"/>
  <c r="AR144" i="16"/>
  <c r="AP144" i="16"/>
  <c r="AN144" i="16"/>
  <c r="AN100" i="16"/>
  <c r="AT100" i="16"/>
  <c r="AR100" i="16"/>
  <c r="AP100" i="16"/>
  <c r="AN92" i="16"/>
  <c r="AT92" i="16"/>
  <c r="AR92" i="16"/>
  <c r="AP92" i="16"/>
  <c r="AP216" i="16"/>
  <c r="AN216" i="16"/>
  <c r="AT216" i="16"/>
  <c r="AR216" i="16"/>
  <c r="B14" i="3"/>
  <c r="AC78" i="7"/>
  <c r="AI390" i="9"/>
  <c r="AI388" i="9"/>
  <c r="W418" i="9"/>
  <c r="AI389" i="9"/>
  <c r="AI391" i="9"/>
  <c r="I64" i="7"/>
  <c r="I240" i="7"/>
  <c r="Z149" i="6"/>
  <c r="Q257" i="9"/>
  <c r="N257" i="9"/>
  <c r="S257" i="9"/>
  <c r="J257" i="9"/>
  <c r="M257" i="9"/>
  <c r="T257" i="9"/>
  <c r="I70" i="9"/>
  <c r="P257" i="9"/>
  <c r="R257" i="9"/>
  <c r="K257" i="9"/>
  <c r="I51" i="7"/>
  <c r="I220" i="7"/>
  <c r="I228" i="7"/>
  <c r="I180" i="7"/>
  <c r="L257" i="9"/>
  <c r="O257" i="9"/>
  <c r="U65" i="6"/>
  <c r="U110" i="6"/>
  <c r="U166" i="6" s="1"/>
  <c r="U168" i="7"/>
  <c r="U159" i="7"/>
  <c r="U170" i="7"/>
  <c r="U174" i="7"/>
  <c r="U171" i="7"/>
  <c r="U156" i="7"/>
  <c r="U165" i="7"/>
  <c r="U162" i="7"/>
  <c r="U177" i="7"/>
  <c r="U175" i="7"/>
  <c r="U167" i="7"/>
  <c r="U155" i="7"/>
  <c r="U141" i="7"/>
  <c r="U132" i="7"/>
  <c r="U136" i="7"/>
  <c r="U91" i="7"/>
  <c r="U121" i="7"/>
  <c r="U41" i="6"/>
  <c r="U81" i="6"/>
  <c r="U43" i="6"/>
  <c r="C10" i="3"/>
  <c r="C14" i="3"/>
  <c r="C7" i="3"/>
  <c r="AM39" i="18" l="1"/>
  <c r="AT152" i="16"/>
  <c r="AN152" i="16"/>
  <c r="AN15" i="16"/>
  <c r="AP15" i="16"/>
  <c r="AJ109" i="7"/>
  <c r="AI109" i="7"/>
  <c r="X46" i="6"/>
  <c r="AP107" i="16"/>
  <c r="AN87" i="16"/>
  <c r="AN108" i="16"/>
  <c r="AR87" i="16"/>
  <c r="AP108" i="16"/>
  <c r="AP87" i="16"/>
  <c r="AP151" i="16"/>
  <c r="AR107" i="16"/>
  <c r="AP147" i="16"/>
  <c r="AR149" i="16"/>
  <c r="AN149" i="16"/>
  <c r="AT149" i="16"/>
  <c r="AJ210" i="16"/>
  <c r="AI136" i="7"/>
  <c r="AQ136" i="7" s="1"/>
  <c r="AT205" i="16"/>
  <c r="AN205" i="16"/>
  <c r="AT105" i="16"/>
  <c r="AP205" i="16"/>
  <c r="AJ159" i="7"/>
  <c r="AG51" i="7"/>
  <c r="AI159" i="7"/>
  <c r="AQ421" i="9"/>
  <c r="AI434" i="9"/>
  <c r="H20" i="64" s="1"/>
  <c r="AJ170" i="7"/>
  <c r="AJ132" i="7"/>
  <c r="AJ206" i="7"/>
  <c r="AJ156" i="7"/>
  <c r="AJ171" i="9"/>
  <c r="AI193" i="9"/>
  <c r="AI170" i="7"/>
  <c r="AI132" i="7"/>
  <c r="AM132" i="7" s="1"/>
  <c r="AI206" i="7"/>
  <c r="AI156" i="7"/>
  <c r="AJ74" i="9"/>
  <c r="AJ228" i="9"/>
  <c r="AJ193" i="9"/>
  <c r="AI228" i="9"/>
  <c r="AI74" i="9"/>
  <c r="AI138" i="9"/>
  <c r="AI25" i="7"/>
  <c r="AM25" i="7" s="1"/>
  <c r="AJ117" i="7"/>
  <c r="AJ111" i="7"/>
  <c r="AJ114" i="7"/>
  <c r="AD51" i="7"/>
  <c r="AJ138" i="9"/>
  <c r="Z51" i="7"/>
  <c r="AJ238" i="9"/>
  <c r="AI218" i="9"/>
  <c r="AJ200" i="9"/>
  <c r="AI153" i="9"/>
  <c r="AI102" i="7"/>
  <c r="AI41" i="6"/>
  <c r="AR41" i="6" s="1"/>
  <c r="AJ41" i="6"/>
  <c r="AI232" i="9"/>
  <c r="AJ218" i="9"/>
  <c r="AI200" i="9"/>
  <c r="AI195" i="9"/>
  <c r="AI203" i="9"/>
  <c r="AJ154" i="9"/>
  <c r="AJ208" i="9"/>
  <c r="AJ158" i="9"/>
  <c r="AJ102" i="7"/>
  <c r="AJ86" i="7"/>
  <c r="AJ115" i="7"/>
  <c r="AI43" i="6"/>
  <c r="AP43" i="6" s="1"/>
  <c r="AJ43" i="6"/>
  <c r="AJ195" i="9"/>
  <c r="AJ152" i="9"/>
  <c r="AI154" i="9"/>
  <c r="AI152" i="9"/>
  <c r="AI208" i="9"/>
  <c r="AO208" i="9" s="1"/>
  <c r="AI238" i="9"/>
  <c r="AJ203" i="9"/>
  <c r="AJ213" i="9"/>
  <c r="AJ232" i="9"/>
  <c r="AI171" i="9"/>
  <c r="AJ153" i="9"/>
  <c r="AI158" i="9"/>
  <c r="AE61" i="6"/>
  <c r="AD61" i="6"/>
  <c r="AI84" i="7"/>
  <c r="AO84" i="7" s="1"/>
  <c r="AJ91" i="7"/>
  <c r="Y61" i="6"/>
  <c r="AH61" i="6"/>
  <c r="AC61" i="6"/>
  <c r="AG61" i="6"/>
  <c r="X61" i="6"/>
  <c r="AJ140" i="7"/>
  <c r="AI90" i="7"/>
  <c r="AQ90" i="7" s="1"/>
  <c r="AJ107" i="7"/>
  <c r="AJ154" i="7"/>
  <c r="AJ165" i="7"/>
  <c r="AB61" i="6"/>
  <c r="AF61" i="6"/>
  <c r="AA61" i="6"/>
  <c r="Z61" i="6"/>
  <c r="AJ84" i="7"/>
  <c r="AI107" i="7"/>
  <c r="AI130" i="7"/>
  <c r="AM130" i="7" s="1"/>
  <c r="AJ130" i="7"/>
  <c r="AI154" i="7"/>
  <c r="AM154" i="7" s="1"/>
  <c r="AF123" i="7"/>
  <c r="AI165" i="7"/>
  <c r="AI140" i="7"/>
  <c r="AO140" i="7" s="1"/>
  <c r="AJ131" i="7"/>
  <c r="AJ90" i="7"/>
  <c r="AJ168" i="7"/>
  <c r="AI145" i="7"/>
  <c r="AM145" i="7" s="1"/>
  <c r="AJ110" i="7"/>
  <c r="AI168" i="7"/>
  <c r="AJ145" i="7"/>
  <c r="AI131" i="7"/>
  <c r="AQ131" i="7" s="1"/>
  <c r="AJ35" i="7"/>
  <c r="X180" i="7"/>
  <c r="AJ174" i="7"/>
  <c r="AJ89" i="7"/>
  <c r="AJ187" i="7"/>
  <c r="AI207" i="7"/>
  <c r="AI28" i="7"/>
  <c r="AM28" i="7" s="1"/>
  <c r="AJ26" i="7"/>
  <c r="AI112" i="7"/>
  <c r="AJ185" i="7"/>
  <c r="AJ171" i="7"/>
  <c r="AJ28" i="7"/>
  <c r="AI187" i="7"/>
  <c r="AJ191" i="7"/>
  <c r="Y220" i="7"/>
  <c r="AI185" i="7"/>
  <c r="AI174" i="7"/>
  <c r="Y180" i="7"/>
  <c r="AI171" i="7"/>
  <c r="AH180" i="7"/>
  <c r="AC180" i="7"/>
  <c r="AI205" i="7"/>
  <c r="AJ205" i="7"/>
  <c r="AJ149" i="7"/>
  <c r="AI210" i="7"/>
  <c r="AI192" i="7"/>
  <c r="AG123" i="7"/>
  <c r="AE180" i="7"/>
  <c r="AJ139" i="7"/>
  <c r="AH51" i="7"/>
  <c r="AD180" i="7"/>
  <c r="AI139" i="7"/>
  <c r="AQ139" i="7" s="1"/>
  <c r="AA180" i="7"/>
  <c r="AD123" i="7"/>
  <c r="AJ193" i="7"/>
  <c r="AI33" i="7"/>
  <c r="AM33" i="7" s="1"/>
  <c r="AJ121" i="7"/>
  <c r="AC123" i="7"/>
  <c r="AJ188" i="7"/>
  <c r="AJ207" i="7"/>
  <c r="AG180" i="7"/>
  <c r="AI149" i="7"/>
  <c r="AQ149" i="7" s="1"/>
  <c r="AI162" i="7"/>
  <c r="AJ208" i="7"/>
  <c r="AJ31" i="7"/>
  <c r="AI208" i="7"/>
  <c r="AI193" i="7"/>
  <c r="AI188" i="7"/>
  <c r="AI121" i="7"/>
  <c r="AI191" i="7"/>
  <c r="AJ126" i="7"/>
  <c r="AI186" i="7"/>
  <c r="AJ101" i="7"/>
  <c r="AE123" i="7"/>
  <c r="AJ210" i="7"/>
  <c r="AJ167" i="7"/>
  <c r="AJ162" i="7"/>
  <c r="AB180" i="7"/>
  <c r="AF180" i="7"/>
  <c r="AJ192" i="7"/>
  <c r="AJ141" i="7"/>
  <c r="AI116" i="7"/>
  <c r="AJ189" i="7"/>
  <c r="AJ116" i="7"/>
  <c r="AI189" i="7"/>
  <c r="AH123" i="7"/>
  <c r="AJ186" i="7"/>
  <c r="AI167" i="7"/>
  <c r="AI126" i="7"/>
  <c r="AI141" i="7"/>
  <c r="AM141" i="7" s="1"/>
  <c r="Z180" i="7"/>
  <c r="AI228" i="7"/>
  <c r="G20" i="64" s="1"/>
  <c r="AJ221" i="9"/>
  <c r="AJ247" i="9"/>
  <c r="AI194" i="9"/>
  <c r="AI221" i="9"/>
  <c r="AI247" i="9"/>
  <c r="AJ226" i="9"/>
  <c r="AI202" i="9"/>
  <c r="AJ202" i="9"/>
  <c r="AI220" i="9"/>
  <c r="AJ220" i="9"/>
  <c r="AI226" i="9"/>
  <c r="AJ176" i="9"/>
  <c r="AI163" i="9"/>
  <c r="AJ79" i="9"/>
  <c r="AJ128" i="9"/>
  <c r="AJ192" i="9"/>
  <c r="AJ194" i="9"/>
  <c r="AI160" i="9"/>
  <c r="AI79" i="9"/>
  <c r="AO79" i="9" s="1"/>
  <c r="AJ142" i="9"/>
  <c r="AI199" i="9"/>
  <c r="AJ178" i="9"/>
  <c r="AJ80" i="9"/>
  <c r="AI246" i="9"/>
  <c r="AJ163" i="9"/>
  <c r="AI192" i="9"/>
  <c r="AU324" i="9"/>
  <c r="AI176" i="9"/>
  <c r="AQ324" i="9"/>
  <c r="AI178" i="9"/>
  <c r="AJ246" i="9"/>
  <c r="AJ219" i="9"/>
  <c r="AI235" i="9"/>
  <c r="AJ201" i="9"/>
  <c r="AJ239" i="9"/>
  <c r="AJ81" i="9"/>
  <c r="AJ137" i="9"/>
  <c r="AH96" i="9"/>
  <c r="AA96" i="9"/>
  <c r="AI142" i="9"/>
  <c r="AJ235" i="9"/>
  <c r="AO324" i="9"/>
  <c r="AI73" i="9"/>
  <c r="AI150" i="9"/>
  <c r="AI219" i="9"/>
  <c r="X96" i="9"/>
  <c r="AJ165" i="9"/>
  <c r="W96" i="9"/>
  <c r="AI162" i="9"/>
  <c r="AI175" i="9"/>
  <c r="AJ230" i="9"/>
  <c r="AI172" i="9"/>
  <c r="AJ173" i="9"/>
  <c r="AI166" i="9"/>
  <c r="AJ212" i="9"/>
  <c r="AJ170" i="9"/>
  <c r="AI229" i="9"/>
  <c r="AJ131" i="9"/>
  <c r="AC96" i="9"/>
  <c r="AJ129" i="9"/>
  <c r="AJ227" i="9"/>
  <c r="AI81" i="9"/>
  <c r="AF96" i="9"/>
  <c r="AI230" i="9"/>
  <c r="AJ160" i="9"/>
  <c r="AI227" i="9"/>
  <c r="AI137" i="9"/>
  <c r="AI165" i="9"/>
  <c r="AJ166" i="9"/>
  <c r="AI170" i="9"/>
  <c r="AI131" i="9"/>
  <c r="AJ175" i="9"/>
  <c r="AI236" i="9"/>
  <c r="AJ172" i="9"/>
  <c r="AJ229" i="9"/>
  <c r="AJ73" i="9"/>
  <c r="AJ150" i="9"/>
  <c r="Y96" i="9"/>
  <c r="AJ236" i="9"/>
  <c r="AO319" i="9"/>
  <c r="AJ162" i="9"/>
  <c r="AI239" i="9"/>
  <c r="AJ164" i="9"/>
  <c r="AJ225" i="9"/>
  <c r="AI129" i="9"/>
  <c r="AI173" i="9"/>
  <c r="AI212" i="9"/>
  <c r="AS421" i="9"/>
  <c r="AI225" i="9"/>
  <c r="AI164" i="9"/>
  <c r="AO427" i="9"/>
  <c r="AQ427" i="9"/>
  <c r="AS427" i="9"/>
  <c r="AU308" i="9"/>
  <c r="AO308" i="9"/>
  <c r="AQ308" i="9"/>
  <c r="AR105" i="16"/>
  <c r="AP102" i="16"/>
  <c r="AR102" i="16"/>
  <c r="AT102" i="16"/>
  <c r="AN105" i="16"/>
  <c r="AI190" i="16"/>
  <c r="AN155" i="16"/>
  <c r="AR86" i="16"/>
  <c r="AI210" i="16"/>
  <c r="I19" i="64" s="1"/>
  <c r="AJ190" i="16"/>
  <c r="AI222" i="16"/>
  <c r="I20" i="64" s="1"/>
  <c r="AR72" i="16"/>
  <c r="AN23" i="16"/>
  <c r="AT72" i="16"/>
  <c r="AJ140" i="16"/>
  <c r="AO39" i="18"/>
  <c r="C24" i="98" s="1"/>
  <c r="AJ177" i="9"/>
  <c r="AJ60" i="9"/>
  <c r="AJ61" i="16"/>
  <c r="AJ217" i="9"/>
  <c r="AI201" i="9"/>
  <c r="AJ62" i="9"/>
  <c r="AJ180" i="9"/>
  <c r="AJ190" i="9"/>
  <c r="AQ321" i="9"/>
  <c r="AJ210" i="9"/>
  <c r="AU321" i="9"/>
  <c r="AI118" i="7"/>
  <c r="AD257" i="9"/>
  <c r="AU319" i="9"/>
  <c r="AI210" i="9"/>
  <c r="AD96" i="9"/>
  <c r="AJ87" i="7"/>
  <c r="AI76" i="9"/>
  <c r="AR143" i="16"/>
  <c r="AJ108" i="7"/>
  <c r="X257" i="9"/>
  <c r="AO224" i="7"/>
  <c r="AI26" i="7"/>
  <c r="AO26" i="7" s="1"/>
  <c r="AJ202" i="7"/>
  <c r="AJ120" i="7"/>
  <c r="AC257" i="9"/>
  <c r="AI177" i="9"/>
  <c r="AJ132" i="9"/>
  <c r="AI181" i="9"/>
  <c r="AJ45" i="16"/>
  <c r="AJ198" i="9"/>
  <c r="AI217" i="9"/>
  <c r="AI126" i="9"/>
  <c r="AJ199" i="9"/>
  <c r="AF220" i="7"/>
  <c r="AJ214" i="9"/>
  <c r="AJ156" i="9"/>
  <c r="AE96" i="9"/>
  <c r="AI180" i="9"/>
  <c r="AC220" i="7"/>
  <c r="AJ203" i="7"/>
  <c r="AJ126" i="9"/>
  <c r="AJ181" i="9"/>
  <c r="AJ140" i="9"/>
  <c r="AJ75" i="9"/>
  <c r="AJ145" i="9"/>
  <c r="Z220" i="7"/>
  <c r="X220" i="7"/>
  <c r="AI111" i="7"/>
  <c r="AI191" i="9"/>
  <c r="AI198" i="9"/>
  <c r="AH257" i="9"/>
  <c r="AJ83" i="7"/>
  <c r="Y123" i="7"/>
  <c r="AJ94" i="7"/>
  <c r="AJ106" i="7"/>
  <c r="AI92" i="7"/>
  <c r="AQ92" i="7" s="1"/>
  <c r="AA123" i="7"/>
  <c r="Z123" i="7"/>
  <c r="AB220" i="7"/>
  <c r="AH220" i="7"/>
  <c r="AB123" i="7"/>
  <c r="AA220" i="7"/>
  <c r="AI115" i="7"/>
  <c r="AI114" i="7"/>
  <c r="AI214" i="9"/>
  <c r="AI156" i="9"/>
  <c r="AJ228" i="7"/>
  <c r="AJ418" i="9"/>
  <c r="AE220" i="7"/>
  <c r="AG220" i="7"/>
  <c r="AJ204" i="7"/>
  <c r="AJ93" i="7"/>
  <c r="AA257" i="9"/>
  <c r="X123" i="7"/>
  <c r="AI418" i="9"/>
  <c r="H19" i="64" s="1"/>
  <c r="AD220" i="7"/>
  <c r="AI108" i="7"/>
  <c r="AI87" i="7"/>
  <c r="AQ87" i="7" s="1"/>
  <c r="AI183" i="9"/>
  <c r="AJ148" i="9"/>
  <c r="AI75" i="9"/>
  <c r="AJ141" i="9"/>
  <c r="AJ184" i="9"/>
  <c r="AO421" i="9"/>
  <c r="AQ39" i="18"/>
  <c r="AR108" i="16"/>
  <c r="AN107" i="16"/>
  <c r="AP72" i="16"/>
  <c r="AP98" i="16"/>
  <c r="AT98" i="16"/>
  <c r="AP150" i="16"/>
  <c r="AP204" i="16"/>
  <c r="AR146" i="16"/>
  <c r="AN97" i="16"/>
  <c r="AT158" i="16"/>
  <c r="AP158" i="16"/>
  <c r="AN156" i="16"/>
  <c r="AN158" i="16"/>
  <c r="AP156" i="16"/>
  <c r="AN151" i="16"/>
  <c r="AR151" i="16"/>
  <c r="AT18" i="16"/>
  <c r="AP94" i="16"/>
  <c r="AR94" i="16"/>
  <c r="AT94" i="16"/>
  <c r="AR147" i="16"/>
  <c r="AN159" i="16"/>
  <c r="AR159" i="16"/>
  <c r="AP159" i="16"/>
  <c r="AN204" i="16"/>
  <c r="AN147" i="16"/>
  <c r="AN18" i="16"/>
  <c r="AN103" i="16"/>
  <c r="AR18" i="16"/>
  <c r="AP22" i="16"/>
  <c r="AT146" i="16"/>
  <c r="AP155" i="16"/>
  <c r="AT155" i="16"/>
  <c r="AN146" i="16"/>
  <c r="AT104" i="16"/>
  <c r="AT22" i="16"/>
  <c r="AN17" i="16"/>
  <c r="AR97" i="16"/>
  <c r="AP23" i="16"/>
  <c r="AP86" i="16"/>
  <c r="AR14" i="16"/>
  <c r="AN203" i="16"/>
  <c r="AP89" i="16"/>
  <c r="AT14" i="16"/>
  <c r="AN22" i="16"/>
  <c r="AP203" i="16"/>
  <c r="AT17" i="16"/>
  <c r="AR110" i="16"/>
  <c r="AN13" i="16"/>
  <c r="AN91" i="16"/>
  <c r="AR13" i="16"/>
  <c r="AR91" i="16"/>
  <c r="AP91" i="16"/>
  <c r="AR23" i="16"/>
  <c r="AP17" i="16"/>
  <c r="AP16" i="16"/>
  <c r="AP103" i="16"/>
  <c r="AT16" i="16"/>
  <c r="AT103" i="16"/>
  <c r="AR95" i="16"/>
  <c r="AT19" i="16"/>
  <c r="AR51" i="16"/>
  <c r="AP19" i="16"/>
  <c r="AP213" i="16"/>
  <c r="AP222" i="16" s="1"/>
  <c r="AP51" i="16"/>
  <c r="AN104" i="16"/>
  <c r="AN95" i="16"/>
  <c r="AN213" i="16"/>
  <c r="AN222" i="16" s="1"/>
  <c r="AN89" i="16"/>
  <c r="AT110" i="16"/>
  <c r="AR213" i="16"/>
  <c r="AR222" i="16" s="1"/>
  <c r="AR89" i="16"/>
  <c r="AT86" i="16"/>
  <c r="AP95" i="16"/>
  <c r="AP104" i="16"/>
  <c r="AN110" i="16"/>
  <c r="AT13" i="16"/>
  <c r="AR164" i="16"/>
  <c r="AT203" i="16"/>
  <c r="AR16" i="16"/>
  <c r="AN51" i="16"/>
  <c r="AN160" i="16"/>
  <c r="AN19" i="16"/>
  <c r="AP160" i="16"/>
  <c r="AN153" i="16"/>
  <c r="AT93" i="16"/>
  <c r="AP153" i="16"/>
  <c r="AR160" i="16"/>
  <c r="AR153" i="16"/>
  <c r="AR88" i="16"/>
  <c r="AT164" i="16"/>
  <c r="AN164" i="16"/>
  <c r="AT99" i="16"/>
  <c r="AR99" i="16"/>
  <c r="AN99" i="16"/>
  <c r="Z96" i="9"/>
  <c r="AI140" i="9"/>
  <c r="AI132" i="9"/>
  <c r="AJ191" i="9"/>
  <c r="AI141" i="9"/>
  <c r="AE257" i="9"/>
  <c r="AI184" i="9"/>
  <c r="Y257" i="9"/>
  <c r="AB257" i="9"/>
  <c r="AI206" i="9"/>
  <c r="AQ206" i="9" s="1"/>
  <c r="AJ100" i="9"/>
  <c r="Z257" i="9"/>
  <c r="AF257" i="9"/>
  <c r="AI148" i="9"/>
  <c r="AI145" i="9"/>
  <c r="AJ186" i="9"/>
  <c r="AG257" i="9"/>
  <c r="AI213" i="9"/>
  <c r="AJ143" i="9"/>
  <c r="AI128" i="9"/>
  <c r="AJ130" i="9"/>
  <c r="AI186" i="9"/>
  <c r="AJ206" i="9"/>
  <c r="AI118" i="9"/>
  <c r="AO321" i="9"/>
  <c r="AI130" i="9"/>
  <c r="AJ183" i="9"/>
  <c r="AJ144" i="9"/>
  <c r="AI144" i="9"/>
  <c r="AB96" i="9"/>
  <c r="AG96" i="9"/>
  <c r="AI190" i="9"/>
  <c r="AI100" i="9"/>
  <c r="AJ63" i="9"/>
  <c r="AJ211" i="9"/>
  <c r="AI211" i="9"/>
  <c r="AI143" i="9"/>
  <c r="AD70" i="9"/>
  <c r="AJ76" i="9"/>
  <c r="AJ118" i="9"/>
  <c r="AJ197" i="9"/>
  <c r="AI197" i="9"/>
  <c r="AI63" i="9"/>
  <c r="Z70" i="9"/>
  <c r="AI80" i="9"/>
  <c r="AC70" i="9"/>
  <c r="AB70" i="9"/>
  <c r="AF70" i="9"/>
  <c r="AG70" i="9"/>
  <c r="AH70" i="9"/>
  <c r="AA70" i="9"/>
  <c r="AE70" i="9"/>
  <c r="X70" i="9"/>
  <c r="Y70" i="9"/>
  <c r="AQ319" i="9"/>
  <c r="AU268" i="9"/>
  <c r="AU421" i="9"/>
  <c r="AU434" i="9" s="1"/>
  <c r="AQ268" i="9"/>
  <c r="AO268" i="9"/>
  <c r="AO299" i="9"/>
  <c r="AQ281" i="9"/>
  <c r="AS281" i="9"/>
  <c r="AU281" i="9"/>
  <c r="AS299" i="9"/>
  <c r="AU299" i="9"/>
  <c r="AU261" i="9"/>
  <c r="AU288" i="9"/>
  <c r="AS288" i="9"/>
  <c r="AO288" i="9"/>
  <c r="AO264" i="9"/>
  <c r="AO292" i="9"/>
  <c r="AQ292" i="9"/>
  <c r="AS292" i="9"/>
  <c r="AU287" i="9"/>
  <c r="AQ287" i="9"/>
  <c r="AS287" i="9"/>
  <c r="AO283" i="9"/>
  <c r="AO273" i="9"/>
  <c r="AQ273" i="9"/>
  <c r="AS266" i="9"/>
  <c r="AU266" i="9"/>
  <c r="AU283" i="9"/>
  <c r="AO261" i="9"/>
  <c r="AS261" i="9"/>
  <c r="AQ283" i="9"/>
  <c r="AU273" i="9"/>
  <c r="AO285" i="9"/>
  <c r="AQ266" i="9"/>
  <c r="AU204" i="9"/>
  <c r="AQ278" i="9"/>
  <c r="AQ295" i="9"/>
  <c r="AS294" i="9"/>
  <c r="AU294" i="9"/>
  <c r="AO294" i="9"/>
  <c r="AO289" i="9"/>
  <c r="AQ269" i="9"/>
  <c r="AS311" i="9"/>
  <c r="AQ289" i="9"/>
  <c r="AS289" i="9"/>
  <c r="AJ35" i="9"/>
  <c r="AI35" i="9"/>
  <c r="AU35" i="9" s="1"/>
  <c r="AO311" i="9"/>
  <c r="AQ277" i="9"/>
  <c r="AQ311" i="9"/>
  <c r="AU275" i="9"/>
  <c r="AO277" i="9"/>
  <c r="AS277" i="9"/>
  <c r="AS278" i="9"/>
  <c r="AU393" i="9"/>
  <c r="AU305" i="9"/>
  <c r="AO295" i="9"/>
  <c r="AQ267" i="9"/>
  <c r="AS295" i="9"/>
  <c r="AI33" i="9"/>
  <c r="AQ33" i="9" s="1"/>
  <c r="AQ302" i="9"/>
  <c r="AI35" i="7"/>
  <c r="AO35" i="7" s="1"/>
  <c r="AI94" i="7"/>
  <c r="AO94" i="7" s="1"/>
  <c r="AI106" i="7"/>
  <c r="AI93" i="7"/>
  <c r="AJ75" i="7"/>
  <c r="AI75" i="7"/>
  <c r="AB51" i="7"/>
  <c r="AJ113" i="7"/>
  <c r="AI113" i="7"/>
  <c r="AI120" i="7"/>
  <c r="AJ27" i="7"/>
  <c r="AJ92" i="7"/>
  <c r="AI89" i="7"/>
  <c r="AJ118" i="7"/>
  <c r="AE51" i="7"/>
  <c r="AJ112" i="7"/>
  <c r="AI117" i="7"/>
  <c r="AI27" i="7"/>
  <c r="AQ27" i="7" s="1"/>
  <c r="AI83" i="7"/>
  <c r="AI110" i="7"/>
  <c r="AI101" i="7"/>
  <c r="AM101" i="7" s="1"/>
  <c r="AI91" i="7"/>
  <c r="AM91" i="7" s="1"/>
  <c r="AI30" i="7"/>
  <c r="AM30" i="7" s="1"/>
  <c r="AJ76" i="7"/>
  <c r="AI76" i="7"/>
  <c r="AI86" i="7"/>
  <c r="AQ86" i="7" s="1"/>
  <c r="AM37" i="7"/>
  <c r="AO37" i="7"/>
  <c r="AQ37" i="7"/>
  <c r="AJ25" i="7"/>
  <c r="AJ33" i="7"/>
  <c r="AJ12" i="7"/>
  <c r="Y51" i="7"/>
  <c r="AI36" i="7"/>
  <c r="AJ36" i="7"/>
  <c r="AJ34" i="7"/>
  <c r="AI32" i="7"/>
  <c r="AJ32" i="7"/>
  <c r="AI49" i="7"/>
  <c r="AJ49" i="7"/>
  <c r="AI31" i="7"/>
  <c r="AJ62" i="7"/>
  <c r="U51" i="7"/>
  <c r="AJ30" i="7"/>
  <c r="AI62" i="7"/>
  <c r="AI34" i="7"/>
  <c r="AI29" i="7"/>
  <c r="AJ29" i="7"/>
  <c r="AI12" i="7"/>
  <c r="AC51" i="7"/>
  <c r="AU264" i="9"/>
  <c r="AI44" i="9"/>
  <c r="AO44" i="9" s="1"/>
  <c r="AU265" i="9"/>
  <c r="AU269" i="9"/>
  <c r="AO269" i="9"/>
  <c r="AA149" i="6"/>
  <c r="AJ12" i="9"/>
  <c r="AO265" i="9"/>
  <c r="AQ279" i="9"/>
  <c r="AS265" i="9"/>
  <c r="AQ301" i="9"/>
  <c r="AS393" i="9"/>
  <c r="AO301" i="9"/>
  <c r="AQ300" i="9"/>
  <c r="AQ270" i="9"/>
  <c r="AS291" i="9"/>
  <c r="AU291" i="9"/>
  <c r="AQ285" i="9"/>
  <c r="AI204" i="7"/>
  <c r="AQ204" i="7" s="1"/>
  <c r="AU278" i="9"/>
  <c r="AS285" i="9"/>
  <c r="AQ264" i="9"/>
  <c r="AH149" i="6"/>
  <c r="AJ44" i="9"/>
  <c r="AU293" i="9"/>
  <c r="AS301" i="9"/>
  <c r="AO393" i="9"/>
  <c r="AS313" i="9"/>
  <c r="AS262" i="9"/>
  <c r="AQ293" i="9"/>
  <c r="AO291" i="9"/>
  <c r="AU279" i="9"/>
  <c r="AO279" i="9"/>
  <c r="AU262" i="9"/>
  <c r="AO305" i="9"/>
  <c r="AU313" i="9"/>
  <c r="AO204" i="9"/>
  <c r="AQ262" i="9"/>
  <c r="AQ305" i="9"/>
  <c r="AO313" i="9"/>
  <c r="AS204" i="9"/>
  <c r="AU315" i="9"/>
  <c r="AO286" i="9"/>
  <c r="AQ290" i="9"/>
  <c r="AB149" i="6"/>
  <c r="AS290" i="9"/>
  <c r="AU290" i="9"/>
  <c r="Y149" i="6"/>
  <c r="AE149" i="6"/>
  <c r="AD149" i="6"/>
  <c r="AG149" i="6"/>
  <c r="AJ142" i="6"/>
  <c r="AI142" i="6"/>
  <c r="AJ145" i="6"/>
  <c r="AI145" i="6"/>
  <c r="AR145" i="6" s="1"/>
  <c r="AJ143" i="6"/>
  <c r="AI143" i="6"/>
  <c r="AP143" i="6" s="1"/>
  <c r="X149" i="6"/>
  <c r="AF149" i="6"/>
  <c r="AI144" i="6"/>
  <c r="AT144" i="6" s="1"/>
  <c r="AC149" i="6"/>
  <c r="W149" i="6"/>
  <c r="AJ144" i="6"/>
  <c r="AJ122" i="6"/>
  <c r="AI122" i="6"/>
  <c r="AO300" i="9"/>
  <c r="AO270" i="9"/>
  <c r="AS293" i="9"/>
  <c r="AO315" i="9"/>
  <c r="AS267" i="9"/>
  <c r="AQ286" i="9"/>
  <c r="AB116" i="6"/>
  <c r="AF116" i="6"/>
  <c r="AQ315" i="9"/>
  <c r="AU267" i="9"/>
  <c r="AS286" i="9"/>
  <c r="AA116" i="6"/>
  <c r="AE116" i="6"/>
  <c r="AS300" i="9"/>
  <c r="AS270" i="9"/>
  <c r="AI70" i="6"/>
  <c r="AJ95" i="6"/>
  <c r="AI95" i="6"/>
  <c r="AJ106" i="6"/>
  <c r="AD116" i="6"/>
  <c r="AJ58" i="6"/>
  <c r="AI58" i="6"/>
  <c r="AJ98" i="6"/>
  <c r="AI101" i="6"/>
  <c r="AJ99" i="6"/>
  <c r="AI99" i="6"/>
  <c r="AH116" i="6"/>
  <c r="AI94" i="6"/>
  <c r="Z116" i="6"/>
  <c r="AJ69" i="6"/>
  <c r="AJ102" i="6"/>
  <c r="AI102" i="6"/>
  <c r="AC116" i="6"/>
  <c r="AJ68" i="6"/>
  <c r="AI68" i="6"/>
  <c r="AJ72" i="6"/>
  <c r="AJ76" i="6"/>
  <c r="AI76" i="6"/>
  <c r="AI69" i="6"/>
  <c r="AJ77" i="6"/>
  <c r="AI85" i="6"/>
  <c r="AJ104" i="6"/>
  <c r="AI104" i="6"/>
  <c r="AJ70" i="6"/>
  <c r="AJ78" i="6"/>
  <c r="AI78" i="6"/>
  <c r="AJ94" i="6"/>
  <c r="AJ75" i="6"/>
  <c r="AI75" i="6"/>
  <c r="AI82" i="6"/>
  <c r="AI93" i="6"/>
  <c r="AI77" i="6"/>
  <c r="AJ112" i="6"/>
  <c r="AI112" i="6"/>
  <c r="AJ82" i="6"/>
  <c r="AJ105" i="6"/>
  <c r="AJ85" i="6"/>
  <c r="AI98" i="6"/>
  <c r="AI105" i="6"/>
  <c r="AJ109" i="6"/>
  <c r="AI109" i="6"/>
  <c r="AJ101" i="6"/>
  <c r="AJ93" i="6"/>
  <c r="AJ103" i="6"/>
  <c r="AI103" i="6"/>
  <c r="Y116" i="6"/>
  <c r="AG116" i="6"/>
  <c r="AJ80" i="6"/>
  <c r="X116" i="6"/>
  <c r="AI72" i="6"/>
  <c r="AI80" i="6"/>
  <c r="AJ87" i="6"/>
  <c r="AI87" i="6"/>
  <c r="AJ73" i="6"/>
  <c r="AI73" i="6"/>
  <c r="AJ74" i="6"/>
  <c r="AI74" i="6"/>
  <c r="AJ90" i="6"/>
  <c r="AI90" i="6"/>
  <c r="AI106" i="6"/>
  <c r="AJ71" i="6"/>
  <c r="AI71" i="6"/>
  <c r="AJ79" i="6"/>
  <c r="AI79" i="6"/>
  <c r="AU302" i="9"/>
  <c r="AO302" i="9"/>
  <c r="AO275" i="9"/>
  <c r="AQ275" i="9"/>
  <c r="AQ284" i="9"/>
  <c r="R139" i="6"/>
  <c r="T116" i="6"/>
  <c r="P161" i="6"/>
  <c r="M61" i="6"/>
  <c r="L61" i="6"/>
  <c r="J161" i="6"/>
  <c r="T161" i="6"/>
  <c r="M149" i="6"/>
  <c r="Q61" i="6"/>
  <c r="P61" i="6"/>
  <c r="Z46" i="6"/>
  <c r="L46" i="6"/>
  <c r="R161" i="6"/>
  <c r="O149" i="6"/>
  <c r="Q149" i="6"/>
  <c r="O139" i="6"/>
  <c r="T61" i="6"/>
  <c r="S116" i="6"/>
  <c r="J116" i="6"/>
  <c r="AA46" i="6"/>
  <c r="M46" i="6"/>
  <c r="Q46" i="6"/>
  <c r="O161" i="6"/>
  <c r="R149" i="6"/>
  <c r="L149" i="6"/>
  <c r="S139" i="6"/>
  <c r="O61" i="6"/>
  <c r="N116" i="6"/>
  <c r="M116" i="6"/>
  <c r="N161" i="6"/>
  <c r="K116" i="6"/>
  <c r="P116" i="6"/>
  <c r="AF46" i="6"/>
  <c r="R46" i="6"/>
  <c r="K46" i="6"/>
  <c r="J149" i="6"/>
  <c r="P149" i="6"/>
  <c r="M139" i="6"/>
  <c r="L139" i="6"/>
  <c r="S61" i="6"/>
  <c r="R116" i="6"/>
  <c r="Q116" i="6"/>
  <c r="L116" i="6"/>
  <c r="J46" i="6"/>
  <c r="AD46" i="6"/>
  <c r="P46" i="6"/>
  <c r="AH46" i="6"/>
  <c r="T46" i="6"/>
  <c r="AC46" i="6"/>
  <c r="O46" i="6"/>
  <c r="M161" i="6"/>
  <c r="N149" i="6"/>
  <c r="T149" i="6"/>
  <c r="Q139" i="6"/>
  <c r="P139" i="6"/>
  <c r="AG46" i="6"/>
  <c r="S46" i="6"/>
  <c r="K161" i="6"/>
  <c r="Q161" i="6"/>
  <c r="K149" i="6"/>
  <c r="T139" i="6"/>
  <c r="N61" i="6"/>
  <c r="O116" i="6"/>
  <c r="AB46" i="6"/>
  <c r="N46" i="6"/>
  <c r="S161" i="6"/>
  <c r="L161" i="6"/>
  <c r="S149" i="6"/>
  <c r="N139" i="6"/>
  <c r="R61" i="6"/>
  <c r="AP93" i="16"/>
  <c r="AO284" i="9"/>
  <c r="AS284" i="9"/>
  <c r="AN93" i="16"/>
  <c r="AI22" i="9"/>
  <c r="AU22" i="9" s="1"/>
  <c r="AP88" i="16"/>
  <c r="AI42" i="9"/>
  <c r="AU42" i="9" s="1"/>
  <c r="AI31" i="9"/>
  <c r="AU31" i="9" s="1"/>
  <c r="AT88" i="16"/>
  <c r="AS296" i="9"/>
  <c r="AI21" i="9"/>
  <c r="AO21" i="9" s="1"/>
  <c r="AI30" i="9"/>
  <c r="AQ30" i="9" s="1"/>
  <c r="AJ41" i="9"/>
  <c r="AJ39" i="9"/>
  <c r="AJ40" i="9"/>
  <c r="AP143" i="16"/>
  <c r="AI39" i="9"/>
  <c r="AS39" i="9" s="1"/>
  <c r="AJ36" i="9"/>
  <c r="AT143" i="16"/>
  <c r="AJ21" i="9"/>
  <c r="AI41" i="9"/>
  <c r="AS41" i="9" s="1"/>
  <c r="AJ32" i="9"/>
  <c r="AI202" i="7"/>
  <c r="AJ28" i="9"/>
  <c r="AI40" i="9"/>
  <c r="AO40" i="9" s="1"/>
  <c r="AP96" i="16"/>
  <c r="AR96" i="16"/>
  <c r="AT96" i="16"/>
  <c r="AN143" i="16"/>
  <c r="AJ33" i="9"/>
  <c r="W220" i="7"/>
  <c r="AI36" i="9"/>
  <c r="AS36" i="9" s="1"/>
  <c r="AI28" i="9"/>
  <c r="AU28" i="9" s="1"/>
  <c r="AI203" i="7"/>
  <c r="AQ203" i="7" s="1"/>
  <c r="AI32" i="9"/>
  <c r="AU32" i="9" s="1"/>
  <c r="AJ22" i="9"/>
  <c r="AJ30" i="9"/>
  <c r="AJ42" i="9"/>
  <c r="AJ31" i="9"/>
  <c r="AJ38" i="9"/>
  <c r="AJ29" i="9"/>
  <c r="AJ34" i="9"/>
  <c r="AU296" i="9"/>
  <c r="AQ296" i="9"/>
  <c r="AQ276" i="9"/>
  <c r="AI13" i="9"/>
  <c r="AU13" i="9" s="1"/>
  <c r="AJ43" i="9"/>
  <c r="AS276" i="9"/>
  <c r="AU276" i="9"/>
  <c r="AI20" i="9"/>
  <c r="AO20" i="9" s="1"/>
  <c r="AJ14" i="9"/>
  <c r="AJ20" i="9"/>
  <c r="AI37" i="9"/>
  <c r="AS37" i="9" s="1"/>
  <c r="AJ13" i="9"/>
  <c r="AI34" i="9"/>
  <c r="AU34" i="9" s="1"/>
  <c r="AI38" i="9"/>
  <c r="AS38" i="9" s="1"/>
  <c r="AI29" i="9"/>
  <c r="AO29" i="9" s="1"/>
  <c r="AQ224" i="7"/>
  <c r="AM224" i="7"/>
  <c r="AI43" i="9"/>
  <c r="AO43" i="9" s="1"/>
  <c r="AQ153" i="7"/>
  <c r="AO153" i="7"/>
  <c r="AM153" i="7"/>
  <c r="AO390" i="9"/>
  <c r="AU390" i="9"/>
  <c r="AS390" i="9"/>
  <c r="AQ390" i="9"/>
  <c r="AI14" i="9"/>
  <c r="AN81" i="6"/>
  <c r="AP81" i="6"/>
  <c r="AR81" i="6"/>
  <c r="AT81" i="6"/>
  <c r="AJ37" i="9"/>
  <c r="AM223" i="7"/>
  <c r="AO223" i="7"/>
  <c r="AQ223" i="7"/>
  <c r="AO388" i="9"/>
  <c r="AU388" i="9"/>
  <c r="AS388" i="9"/>
  <c r="AQ388" i="9"/>
  <c r="AS391" i="9"/>
  <c r="AQ391" i="9"/>
  <c r="AO391" i="9"/>
  <c r="AU391" i="9"/>
  <c r="AO389" i="9"/>
  <c r="AU389" i="9"/>
  <c r="AS389" i="9"/>
  <c r="AQ389" i="9"/>
  <c r="AR210" i="16"/>
  <c r="AT222" i="16"/>
  <c r="U42" i="6"/>
  <c r="W116" i="6"/>
  <c r="U144" i="6"/>
  <c r="U44" i="6"/>
  <c r="W61" i="6"/>
  <c r="I139" i="6"/>
  <c r="I161" i="6"/>
  <c r="I149" i="6"/>
  <c r="I116" i="6"/>
  <c r="I46" i="6"/>
  <c r="D15" i="3"/>
  <c r="U77" i="6"/>
  <c r="U74" i="6"/>
  <c r="U142" i="6"/>
  <c r="U145" i="6"/>
  <c r="U143" i="6"/>
  <c r="U78" i="6"/>
  <c r="U72" i="6"/>
  <c r="U90" i="6"/>
  <c r="U94" i="6"/>
  <c r="U105" i="6"/>
  <c r="U99" i="6"/>
  <c r="U109" i="6"/>
  <c r="U159" i="6"/>
  <c r="U93" i="6"/>
  <c r="U126" i="6"/>
  <c r="U103" i="6"/>
  <c r="U106" i="6"/>
  <c r="U153" i="6"/>
  <c r="U98" i="6"/>
  <c r="U104" i="6"/>
  <c r="U69" i="6"/>
  <c r="U102" i="6"/>
  <c r="U112" i="6"/>
  <c r="U101" i="6"/>
  <c r="U95" i="6"/>
  <c r="U85" i="6"/>
  <c r="U76" i="6"/>
  <c r="U75" i="6"/>
  <c r="U38" i="6"/>
  <c r="U73" i="6"/>
  <c r="U68" i="6"/>
  <c r="U70" i="6"/>
  <c r="U79" i="6"/>
  <c r="U82" i="6"/>
  <c r="U39" i="6"/>
  <c r="U152" i="6"/>
  <c r="U71" i="6"/>
  <c r="U80" i="6"/>
  <c r="I61" i="6"/>
  <c r="U40" i="6"/>
  <c r="U87" i="6"/>
  <c r="AQ434" i="9" l="1"/>
  <c r="AR43" i="6"/>
  <c r="AN43" i="6"/>
  <c r="AN41" i="6"/>
  <c r="AP41" i="6"/>
  <c r="AT41" i="6"/>
  <c r="AT43" i="6"/>
  <c r="AJ51" i="6"/>
  <c r="AJ62" i="6" s="1"/>
  <c r="AI51" i="6"/>
  <c r="AI61" i="6" s="1"/>
  <c r="AQ28" i="7"/>
  <c r="AO28" i="7"/>
  <c r="AQ33" i="7"/>
  <c r="AO33" i="7"/>
  <c r="AJ180" i="7"/>
  <c r="AI180" i="7"/>
  <c r="AS434" i="9"/>
  <c r="AO434" i="9"/>
  <c r="AI96" i="9"/>
  <c r="AM35" i="7"/>
  <c r="AI51" i="7"/>
  <c r="AQ35" i="7"/>
  <c r="AJ220" i="7"/>
  <c r="AJ123" i="7"/>
  <c r="AJ96" i="9"/>
  <c r="AQ30" i="7"/>
  <c r="AO30" i="7"/>
  <c r="AO202" i="7"/>
  <c r="AI220" i="7"/>
  <c r="G19" i="64" s="1"/>
  <c r="AJ51" i="7"/>
  <c r="AI123" i="7"/>
  <c r="AJ257" i="9"/>
  <c r="AJ70" i="9"/>
  <c r="AN210" i="16"/>
  <c r="AT210" i="16"/>
  <c r="AP210" i="16"/>
  <c r="AR190" i="16"/>
  <c r="AP190" i="16"/>
  <c r="AN190" i="16"/>
  <c r="AT190" i="16"/>
  <c r="AI257" i="9"/>
  <c r="AQ35" i="9"/>
  <c r="AO35" i="9"/>
  <c r="AS35" i="9"/>
  <c r="AS44" i="9"/>
  <c r="AU33" i="9"/>
  <c r="AO33" i="9"/>
  <c r="AS33" i="9"/>
  <c r="AO27" i="7"/>
  <c r="AM27" i="7"/>
  <c r="AM75" i="7"/>
  <c r="AO75" i="7"/>
  <c r="AQ75" i="7"/>
  <c r="AM12" i="7"/>
  <c r="AM76" i="7"/>
  <c r="AO76" i="7"/>
  <c r="AQ76" i="7"/>
  <c r="AM29" i="7"/>
  <c r="AO29" i="7"/>
  <c r="AQ29" i="7"/>
  <c r="AM32" i="7"/>
  <c r="AO32" i="7"/>
  <c r="AQ32" i="7"/>
  <c r="AO34" i="7"/>
  <c r="AQ34" i="7"/>
  <c r="AM34" i="7"/>
  <c r="AQ31" i="7"/>
  <c r="AM31" i="7"/>
  <c r="AO31" i="7"/>
  <c r="AQ49" i="7"/>
  <c r="AM49" i="7"/>
  <c r="AO49" i="7"/>
  <c r="AM36" i="7"/>
  <c r="AO36" i="7"/>
  <c r="AQ36" i="7"/>
  <c r="AM136" i="7"/>
  <c r="AO154" i="7"/>
  <c r="AM92" i="7"/>
  <c r="AM131" i="7"/>
  <c r="AO92" i="7"/>
  <c r="AQ12" i="7"/>
  <c r="AO136" i="7"/>
  <c r="AM86" i="7"/>
  <c r="AO131" i="7"/>
  <c r="AO86" i="7"/>
  <c r="AQ130" i="7"/>
  <c r="AQ141" i="7"/>
  <c r="AQ26" i="7"/>
  <c r="AM139" i="7"/>
  <c r="AO141" i="7"/>
  <c r="AO139" i="7"/>
  <c r="AQ94" i="7"/>
  <c r="AO101" i="7"/>
  <c r="AO91" i="7"/>
  <c r="AQ91" i="7"/>
  <c r="AQ101" i="7"/>
  <c r="AO132" i="7"/>
  <c r="AQ132" i="7"/>
  <c r="AO87" i="7"/>
  <c r="AO130" i="7"/>
  <c r="AM90" i="7"/>
  <c r="AO90" i="7"/>
  <c r="AQ154" i="7"/>
  <c r="AM87" i="7"/>
  <c r="AM26" i="7"/>
  <c r="AO149" i="7"/>
  <c r="AM149" i="7"/>
  <c r="AM84" i="7"/>
  <c r="AM94" i="7"/>
  <c r="AO12" i="7"/>
  <c r="AQ84" i="7"/>
  <c r="AQ25" i="7"/>
  <c r="AO25" i="7"/>
  <c r="AU44" i="9"/>
  <c r="AQ44" i="9"/>
  <c r="AE46" i="6"/>
  <c r="AO204" i="7"/>
  <c r="AJ40" i="6"/>
  <c r="Y139" i="6"/>
  <c r="AI40" i="6"/>
  <c r="AT40" i="6" s="1"/>
  <c r="Y46" i="6"/>
  <c r="AM204" i="7"/>
  <c r="AI134" i="6"/>
  <c r="AJ134" i="6"/>
  <c r="AI121" i="6"/>
  <c r="AJ121" i="6"/>
  <c r="AD139" i="6"/>
  <c r="AE139" i="6"/>
  <c r="AG139" i="6"/>
  <c r="AH139" i="6"/>
  <c r="AA139" i="6"/>
  <c r="AF139" i="6"/>
  <c r="X139" i="6"/>
  <c r="AI149" i="6"/>
  <c r="AJ149" i="6"/>
  <c r="AU38" i="9"/>
  <c r="AO38" i="9"/>
  <c r="AJ126" i="6"/>
  <c r="W139" i="6"/>
  <c r="AQ20" i="9"/>
  <c r="AC139" i="6"/>
  <c r="Z139" i="6"/>
  <c r="AJ127" i="6"/>
  <c r="AB139" i="6"/>
  <c r="AI44" i="6"/>
  <c r="AN44" i="6" s="1"/>
  <c r="AM140" i="7"/>
  <c r="AS32" i="9"/>
  <c r="AJ44" i="6"/>
  <c r="AI42" i="6"/>
  <c r="AJ42" i="6"/>
  <c r="AT145" i="6"/>
  <c r="AN145" i="6"/>
  <c r="AN142" i="6"/>
  <c r="AN144" i="6"/>
  <c r="AI116" i="6"/>
  <c r="AP144" i="6"/>
  <c r="AJ116" i="6"/>
  <c r="AQ36" i="9"/>
  <c r="AU20" i="9"/>
  <c r="AU206" i="9"/>
  <c r="AO39" i="9"/>
  <c r="AQ202" i="7"/>
  <c r="AQ39" i="9"/>
  <c r="AJ39" i="6"/>
  <c r="U116" i="6"/>
  <c r="D11" i="3" s="1"/>
  <c r="AS20" i="9"/>
  <c r="AS206" i="9"/>
  <c r="W46" i="6"/>
  <c r="AJ38" i="6"/>
  <c r="U46" i="6"/>
  <c r="D7" i="3" s="1"/>
  <c r="U149" i="6"/>
  <c r="D13" i="3" s="1"/>
  <c r="AO32" i="9"/>
  <c r="AQ21" i="9"/>
  <c r="AU21" i="9"/>
  <c r="AS21" i="9"/>
  <c r="AM202" i="7"/>
  <c r="AQ32" i="9"/>
  <c r="AS13" i="9"/>
  <c r="AU79" i="9"/>
  <c r="AS31" i="9"/>
  <c r="AQ40" i="9"/>
  <c r="AU30" i="9"/>
  <c r="AQ28" i="9"/>
  <c r="AS40" i="9"/>
  <c r="AO28" i="9"/>
  <c r="AU40" i="9"/>
  <c r="AQ38" i="9"/>
  <c r="AP145" i="6"/>
  <c r="AR144" i="6"/>
  <c r="AO206" i="9"/>
  <c r="AU36" i="9"/>
  <c r="AO42" i="9"/>
  <c r="AO36" i="9"/>
  <c r="AI127" i="6"/>
  <c r="AT127" i="6" s="1"/>
  <c r="AU39" i="9"/>
  <c r="AS28" i="9"/>
  <c r="AM203" i="7"/>
  <c r="AO22" i="9"/>
  <c r="AJ243" i="16"/>
  <c r="AQ79" i="9"/>
  <c r="AO31" i="9"/>
  <c r="AS30" i="9"/>
  <c r="AS79" i="9"/>
  <c r="AQ31" i="9"/>
  <c r="AO145" i="7"/>
  <c r="AO203" i="7"/>
  <c r="AQ22" i="9"/>
  <c r="AQ145" i="7"/>
  <c r="AO13" i="9"/>
  <c r="AS22" i="9"/>
  <c r="AQ13" i="9"/>
  <c r="AO30" i="9"/>
  <c r="AQ42" i="9"/>
  <c r="AO41" i="9"/>
  <c r="AS42" i="9"/>
  <c r="AQ41" i="9"/>
  <c r="AU208" i="9"/>
  <c r="AO228" i="7"/>
  <c r="AQ140" i="7"/>
  <c r="AQ208" i="9"/>
  <c r="AS208" i="9"/>
  <c r="AU41" i="9"/>
  <c r="AT143" i="6"/>
  <c r="AI126" i="6"/>
  <c r="AQ228" i="7"/>
  <c r="AM228" i="7"/>
  <c r="AQ29" i="9"/>
  <c r="AS29" i="9"/>
  <c r="AO34" i="9"/>
  <c r="AU29" i="9"/>
  <c r="AQ34" i="9"/>
  <c r="AO37" i="9"/>
  <c r="AS34" i="9"/>
  <c r="AQ37" i="9"/>
  <c r="AR143" i="6"/>
  <c r="AU37" i="9"/>
  <c r="AN143" i="6"/>
  <c r="AQ43" i="9"/>
  <c r="AS43" i="9"/>
  <c r="AU43" i="9"/>
  <c r="AT73" i="6"/>
  <c r="AP73" i="6"/>
  <c r="AN73" i="6"/>
  <c r="AR73" i="6"/>
  <c r="AO132" i="9"/>
  <c r="AU132" i="9"/>
  <c r="AS132" i="9"/>
  <c r="AQ132" i="9"/>
  <c r="AS198" i="9"/>
  <c r="AU198" i="9"/>
  <c r="AQ198" i="9"/>
  <c r="AO198" i="9"/>
  <c r="AN70" i="6"/>
  <c r="AP70" i="6"/>
  <c r="AR70" i="6"/>
  <c r="AT70" i="6"/>
  <c r="AS418" i="9"/>
  <c r="AN80" i="6"/>
  <c r="AP80" i="6"/>
  <c r="AR80" i="6"/>
  <c r="AT80" i="6"/>
  <c r="AO203" i="9"/>
  <c r="AU203" i="9"/>
  <c r="AS203" i="9"/>
  <c r="AQ203" i="9"/>
  <c r="AU167" i="9"/>
  <c r="AS167" i="9"/>
  <c r="AQ167" i="9"/>
  <c r="AO167" i="9"/>
  <c r="AO158" i="9"/>
  <c r="AU158" i="9"/>
  <c r="AS158" i="9"/>
  <c r="AQ158" i="9"/>
  <c r="AU137" i="9"/>
  <c r="AS137" i="9"/>
  <c r="AQ137" i="9"/>
  <c r="AO137" i="9"/>
  <c r="AS80" i="9"/>
  <c r="AQ80" i="9"/>
  <c r="AO80" i="9"/>
  <c r="AU80" i="9"/>
  <c r="AU186" i="9"/>
  <c r="AS186" i="9"/>
  <c r="AQ186" i="9"/>
  <c r="AO186" i="9"/>
  <c r="AU160" i="9"/>
  <c r="AS160" i="9"/>
  <c r="AQ160" i="9"/>
  <c r="AO160" i="9"/>
  <c r="AR82" i="6"/>
  <c r="AT82" i="6"/>
  <c r="AN82" i="6"/>
  <c r="AP82" i="6"/>
  <c r="AR79" i="6"/>
  <c r="AN79" i="6"/>
  <c r="AP79" i="6"/>
  <c r="AT79" i="6"/>
  <c r="AQ76" i="9"/>
  <c r="AO76" i="9"/>
  <c r="AU76" i="9"/>
  <c r="AS76" i="9"/>
  <c r="AU130" i="9"/>
  <c r="AQ130" i="9"/>
  <c r="AO130" i="9"/>
  <c r="AS130" i="9"/>
  <c r="AO164" i="9"/>
  <c r="AU164" i="9"/>
  <c r="AS164" i="9"/>
  <c r="AQ164" i="9"/>
  <c r="AN76" i="6"/>
  <c r="AP76" i="6"/>
  <c r="AR76" i="6"/>
  <c r="AT76" i="6"/>
  <c r="AT75" i="6"/>
  <c r="AN75" i="6"/>
  <c r="AP75" i="6"/>
  <c r="AR75" i="6"/>
  <c r="AU163" i="9"/>
  <c r="AS163" i="9"/>
  <c r="AQ163" i="9"/>
  <c r="AO163" i="9"/>
  <c r="AO172" i="9"/>
  <c r="AU172" i="9"/>
  <c r="AS172" i="9"/>
  <c r="AQ172" i="9"/>
  <c r="AO190" i="9"/>
  <c r="AU190" i="9"/>
  <c r="AS190" i="9"/>
  <c r="AQ190" i="9"/>
  <c r="AS131" i="9"/>
  <c r="AO131" i="9"/>
  <c r="AU131" i="9"/>
  <c r="AQ131" i="9"/>
  <c r="AO166" i="9"/>
  <c r="AU166" i="9"/>
  <c r="AS166" i="9"/>
  <c r="AQ166" i="9"/>
  <c r="AO177" i="9"/>
  <c r="AU177" i="9"/>
  <c r="AS177" i="9"/>
  <c r="AQ177" i="9"/>
  <c r="AN71" i="6"/>
  <c r="AP71" i="6"/>
  <c r="AR71" i="6"/>
  <c r="AT71" i="6"/>
  <c r="AN78" i="6"/>
  <c r="AP78" i="6"/>
  <c r="AR78" i="6"/>
  <c r="AT78" i="6"/>
  <c r="AU195" i="9"/>
  <c r="AS195" i="9"/>
  <c r="AQ195" i="9"/>
  <c r="AO195" i="9"/>
  <c r="AU202" i="9"/>
  <c r="AS202" i="9"/>
  <c r="AQ202" i="9"/>
  <c r="AO202" i="9"/>
  <c r="AU192" i="9"/>
  <c r="AS192" i="9"/>
  <c r="AQ192" i="9"/>
  <c r="AO192" i="9"/>
  <c r="AS178" i="9"/>
  <c r="AU178" i="9"/>
  <c r="AQ178" i="9"/>
  <c r="AO178" i="9"/>
  <c r="AS175" i="9"/>
  <c r="AQ175" i="9"/>
  <c r="AO175" i="9"/>
  <c r="AU175" i="9"/>
  <c r="AN69" i="6"/>
  <c r="AP69" i="6"/>
  <c r="AT69" i="6"/>
  <c r="AR69" i="6"/>
  <c r="AP87" i="6"/>
  <c r="AN87" i="6"/>
  <c r="AR87" i="6"/>
  <c r="AT87" i="6"/>
  <c r="AU183" i="9"/>
  <c r="AS183" i="9"/>
  <c r="AQ183" i="9"/>
  <c r="AO183" i="9"/>
  <c r="AO150" i="9"/>
  <c r="AU150" i="9"/>
  <c r="AS150" i="9"/>
  <c r="AQ150" i="9"/>
  <c r="AS162" i="9"/>
  <c r="AQ162" i="9"/>
  <c r="AO162" i="9"/>
  <c r="AU162" i="9"/>
  <c r="AO144" i="9"/>
  <c r="AU144" i="9"/>
  <c r="AS144" i="9"/>
  <c r="AQ144" i="9"/>
  <c r="AU171" i="9"/>
  <c r="AS171" i="9"/>
  <c r="AQ171" i="9"/>
  <c r="AO171" i="9"/>
  <c r="AO170" i="9"/>
  <c r="AU170" i="9"/>
  <c r="AS170" i="9"/>
  <c r="AQ170" i="9"/>
  <c r="AO134" i="9"/>
  <c r="AU134" i="9"/>
  <c r="AS134" i="9"/>
  <c r="AQ134" i="9"/>
  <c r="AS142" i="9"/>
  <c r="AQ142" i="9"/>
  <c r="AO142" i="9"/>
  <c r="AU142" i="9"/>
  <c r="AS194" i="9"/>
  <c r="AU194" i="9"/>
  <c r="AQ194" i="9"/>
  <c r="AO194" i="9"/>
  <c r="AO141" i="9"/>
  <c r="AU141" i="9"/>
  <c r="AS141" i="9"/>
  <c r="AQ141" i="9"/>
  <c r="AS173" i="9"/>
  <c r="AU173" i="9"/>
  <c r="AQ173" i="9"/>
  <c r="AO173" i="9"/>
  <c r="AU153" i="9"/>
  <c r="AS153" i="9"/>
  <c r="AQ153" i="9"/>
  <c r="AO153" i="9"/>
  <c r="AQ81" i="9"/>
  <c r="AO81" i="9"/>
  <c r="AU81" i="9"/>
  <c r="AS81" i="9"/>
  <c r="AN85" i="6"/>
  <c r="AR85" i="6"/>
  <c r="AT85" i="6"/>
  <c r="AP85" i="6"/>
  <c r="AU156" i="9"/>
  <c r="AS156" i="9"/>
  <c r="AQ156" i="9"/>
  <c r="AO156" i="9"/>
  <c r="AO193" i="9"/>
  <c r="AU193" i="9"/>
  <c r="AS193" i="9"/>
  <c r="AQ193" i="9"/>
  <c r="AS152" i="9"/>
  <c r="AU152" i="9"/>
  <c r="AQ152" i="9"/>
  <c r="AO152" i="9"/>
  <c r="AR72" i="6"/>
  <c r="AT72" i="6"/>
  <c r="AN72" i="6"/>
  <c r="AP72" i="6"/>
  <c r="AO74" i="9"/>
  <c r="AU74" i="9"/>
  <c r="AS74" i="9"/>
  <c r="AQ74" i="9"/>
  <c r="AS165" i="9"/>
  <c r="AU165" i="9"/>
  <c r="AQ165" i="9"/>
  <c r="AO165" i="9"/>
  <c r="AU14" i="9"/>
  <c r="AS14" i="9"/>
  <c r="AQ14" i="9"/>
  <c r="AO14" i="9"/>
  <c r="AR74" i="6"/>
  <c r="AN74" i="6"/>
  <c r="AP74" i="6"/>
  <c r="AT74" i="6"/>
  <c r="AU180" i="9"/>
  <c r="AS180" i="9"/>
  <c r="AQ180" i="9"/>
  <c r="AO180" i="9"/>
  <c r="AS201" i="9"/>
  <c r="AQ201" i="9"/>
  <c r="AO201" i="9"/>
  <c r="AU201" i="9"/>
  <c r="AT94" i="6"/>
  <c r="AP94" i="6"/>
  <c r="AN94" i="6"/>
  <c r="AR94" i="6"/>
  <c r="AN90" i="6"/>
  <c r="AP90" i="6"/>
  <c r="AR90" i="6"/>
  <c r="AT90" i="6"/>
  <c r="AO128" i="9"/>
  <c r="AU128" i="9"/>
  <c r="AS128" i="9"/>
  <c r="AQ128" i="9"/>
  <c r="AU140" i="9"/>
  <c r="AS140" i="9"/>
  <c r="AQ140" i="9"/>
  <c r="AO140" i="9"/>
  <c r="AQ89" i="7"/>
  <c r="AO89" i="7"/>
  <c r="AM89" i="7"/>
  <c r="AN68" i="6"/>
  <c r="AP68" i="6"/>
  <c r="AR68" i="6"/>
  <c r="AT68" i="6"/>
  <c r="AS145" i="9"/>
  <c r="AU145" i="9"/>
  <c r="AO145" i="9"/>
  <c r="AQ145" i="9"/>
  <c r="AS75" i="9"/>
  <c r="AQ75" i="9"/>
  <c r="AO75" i="9"/>
  <c r="AU75" i="9"/>
  <c r="AU138" i="9"/>
  <c r="AO138" i="9"/>
  <c r="AS138" i="9"/>
  <c r="AQ138" i="9"/>
  <c r="AU199" i="9"/>
  <c r="AS199" i="9"/>
  <c r="AQ199" i="9"/>
  <c r="AO199" i="9"/>
  <c r="AU129" i="9"/>
  <c r="AS129" i="9"/>
  <c r="AQ129" i="9"/>
  <c r="AO129" i="9"/>
  <c r="AO93" i="7"/>
  <c r="AM93" i="7"/>
  <c r="AQ93" i="7"/>
  <c r="AO418" i="9"/>
  <c r="AU176" i="9"/>
  <c r="AS176" i="9"/>
  <c r="AQ176" i="9"/>
  <c r="AO176" i="9"/>
  <c r="AO154" i="9"/>
  <c r="AU154" i="9"/>
  <c r="AS154" i="9"/>
  <c r="AQ154" i="9"/>
  <c r="AO184" i="9"/>
  <c r="AU184" i="9"/>
  <c r="AS184" i="9"/>
  <c r="AQ184" i="9"/>
  <c r="AR93" i="6"/>
  <c r="AT93" i="6"/>
  <c r="AN93" i="6"/>
  <c r="AP93" i="6"/>
  <c r="AN77" i="6"/>
  <c r="AP77" i="6"/>
  <c r="AR77" i="6"/>
  <c r="AT77" i="6"/>
  <c r="AU143" i="9"/>
  <c r="AS143" i="9"/>
  <c r="AQ143" i="9"/>
  <c r="AO143" i="9"/>
  <c r="AU197" i="9"/>
  <c r="AS197" i="9"/>
  <c r="AQ197" i="9"/>
  <c r="AO197" i="9"/>
  <c r="AO200" i="9"/>
  <c r="AU200" i="9"/>
  <c r="AS200" i="9"/>
  <c r="AQ200" i="9"/>
  <c r="AO181" i="9"/>
  <c r="AU181" i="9"/>
  <c r="AS181" i="9"/>
  <c r="AQ181" i="9"/>
  <c r="AS191" i="9"/>
  <c r="AQ191" i="9"/>
  <c r="AO191" i="9"/>
  <c r="AU191" i="9"/>
  <c r="AO148" i="9"/>
  <c r="AU148" i="9"/>
  <c r="AS148" i="9"/>
  <c r="AQ148" i="9"/>
  <c r="AQ418" i="9"/>
  <c r="AU418" i="9"/>
  <c r="AI38" i="6"/>
  <c r="AI39" i="6"/>
  <c r="I168" i="6"/>
  <c r="H53" i="18"/>
  <c r="H49" i="18"/>
  <c r="H45" i="18"/>
  <c r="I361" i="9"/>
  <c r="I96" i="9"/>
  <c r="Q53" i="18"/>
  <c r="R53" i="18"/>
  <c r="P45" i="18"/>
  <c r="P53" i="18"/>
  <c r="O53" i="18"/>
  <c r="N53" i="18"/>
  <c r="M53" i="18"/>
  <c r="L53" i="18"/>
  <c r="R49" i="18"/>
  <c r="Q49" i="18"/>
  <c r="P49" i="18"/>
  <c r="O49" i="18"/>
  <c r="N49" i="18"/>
  <c r="M49" i="18"/>
  <c r="R45" i="18"/>
  <c r="Q45" i="18"/>
  <c r="O45" i="18"/>
  <c r="N45" i="18"/>
  <c r="N61" i="18" s="1"/>
  <c r="M45" i="18"/>
  <c r="L45" i="18"/>
  <c r="K235" i="16"/>
  <c r="J235" i="16"/>
  <c r="K84" i="16"/>
  <c r="J84" i="16"/>
  <c r="K81" i="16"/>
  <c r="J81" i="16"/>
  <c r="K70" i="16"/>
  <c r="J70" i="16"/>
  <c r="K69" i="16"/>
  <c r="J69" i="16"/>
  <c r="K67" i="16"/>
  <c r="K68" i="16" s="1"/>
  <c r="J67" i="16"/>
  <c r="J68" i="16" s="1"/>
  <c r="K63" i="16"/>
  <c r="J63" i="16"/>
  <c r="K62" i="16"/>
  <c r="J62" i="16"/>
  <c r="K47" i="16"/>
  <c r="J47" i="16"/>
  <c r="K46" i="16"/>
  <c r="J46" i="16"/>
  <c r="U12" i="16"/>
  <c r="U45" i="16" s="1"/>
  <c r="K450" i="9"/>
  <c r="J450" i="9"/>
  <c r="K125" i="9"/>
  <c r="J125" i="9"/>
  <c r="X103" i="9"/>
  <c r="Y103" i="9"/>
  <c r="W70" i="9"/>
  <c r="K122" i="9"/>
  <c r="J122" i="9"/>
  <c r="K105" i="9"/>
  <c r="J105" i="9"/>
  <c r="K104" i="9"/>
  <c r="J104" i="9"/>
  <c r="K102" i="9"/>
  <c r="K103" i="9" s="1"/>
  <c r="J102" i="9"/>
  <c r="J103" i="9" s="1"/>
  <c r="K98" i="9"/>
  <c r="J98" i="9"/>
  <c r="K97" i="9"/>
  <c r="J97" i="9"/>
  <c r="K72" i="9"/>
  <c r="J72" i="9"/>
  <c r="K71" i="9"/>
  <c r="J71" i="9"/>
  <c r="U233" i="7"/>
  <c r="U234" i="7"/>
  <c r="U231" i="7"/>
  <c r="U208" i="7"/>
  <c r="U210" i="7"/>
  <c r="U218" i="7"/>
  <c r="AA182" i="5"/>
  <c r="H194" i="1"/>
  <c r="H195" i="1" s="1"/>
  <c r="I194" i="1"/>
  <c r="I195" i="1" s="1"/>
  <c r="U224" i="7"/>
  <c r="U223" i="7"/>
  <c r="W180" i="7"/>
  <c r="U154" i="7"/>
  <c r="U153" i="7"/>
  <c r="U149" i="7"/>
  <c r="U145" i="7"/>
  <c r="U140" i="7"/>
  <c r="U139" i="7"/>
  <c r="U131" i="7"/>
  <c r="U130" i="7"/>
  <c r="U126" i="7"/>
  <c r="AJ61" i="6" l="1"/>
  <c r="AJ174" i="6" s="1"/>
  <c r="Q61" i="18"/>
  <c r="Q64" i="18" s="1"/>
  <c r="R61" i="18"/>
  <c r="R64" i="18" s="1"/>
  <c r="L61" i="18"/>
  <c r="L64" i="18" s="1"/>
  <c r="M61" i="18"/>
  <c r="M64" i="18" s="1"/>
  <c r="P61" i="18"/>
  <c r="P64" i="18" s="1"/>
  <c r="O61" i="18"/>
  <c r="O64" i="18" s="1"/>
  <c r="AJ260" i="9"/>
  <c r="AJ361" i="9" s="1"/>
  <c r="W361" i="9"/>
  <c r="V182" i="5"/>
  <c r="AJ71" i="16"/>
  <c r="AJ80" i="16" s="1"/>
  <c r="W80" i="16"/>
  <c r="F10" i="3"/>
  <c r="U121" i="9"/>
  <c r="F7" i="3" s="1"/>
  <c r="U228" i="7"/>
  <c r="E13" i="3" s="1"/>
  <c r="U180" i="7"/>
  <c r="AR40" i="6"/>
  <c r="AP40" i="6"/>
  <c r="AN40" i="6"/>
  <c r="AO220" i="7"/>
  <c r="AJ139" i="6"/>
  <c r="AR44" i="6"/>
  <c r="AJ46" i="6"/>
  <c r="AM220" i="7"/>
  <c r="AP44" i="6"/>
  <c r="AT44" i="6"/>
  <c r="AQ220" i="7"/>
  <c r="AR126" i="6"/>
  <c r="AI139" i="6"/>
  <c r="F19" i="64" s="1"/>
  <c r="F20" i="64"/>
  <c r="AP127" i="6"/>
  <c r="AI46" i="6"/>
  <c r="F8" i="64" s="1"/>
  <c r="F9" i="64" s="1"/>
  <c r="AR142" i="6"/>
  <c r="AR149" i="6" s="1"/>
  <c r="AT142" i="6"/>
  <c r="AT42" i="6"/>
  <c r="AR42" i="6"/>
  <c r="AP42" i="6"/>
  <c r="AN42" i="6"/>
  <c r="AP142" i="6"/>
  <c r="AR127" i="6"/>
  <c r="AN127" i="6"/>
  <c r="AP126" i="6"/>
  <c r="AN126" i="6"/>
  <c r="AT126" i="6"/>
  <c r="AN116" i="6"/>
  <c r="W103" i="9"/>
  <c r="AJ101" i="9"/>
  <c r="AZ38" i="6"/>
  <c r="AX38" i="6"/>
  <c r="AV38" i="6"/>
  <c r="AN38" i="6"/>
  <c r="AR38" i="6"/>
  <c r="AT38" i="6"/>
  <c r="AP38" i="6"/>
  <c r="AN51" i="6"/>
  <c r="AN61" i="6" s="1"/>
  <c r="AR51" i="6"/>
  <c r="AR61" i="6" s="1"/>
  <c r="AT51" i="6"/>
  <c r="AT61" i="6" s="1"/>
  <c r="AP51" i="6"/>
  <c r="AP61" i="6" s="1"/>
  <c r="F12" i="64"/>
  <c r="AT116" i="6"/>
  <c r="W257" i="9"/>
  <c r="AP116" i="6"/>
  <c r="AR116" i="6"/>
  <c r="AN39" i="6"/>
  <c r="AT39" i="6"/>
  <c r="AR39" i="6"/>
  <c r="AP39" i="6"/>
  <c r="I175" i="6"/>
  <c r="I172" i="6"/>
  <c r="I173" i="6" s="1"/>
  <c r="F13" i="3"/>
  <c r="U361" i="9"/>
  <c r="F11" i="3" s="1"/>
  <c r="F14" i="3"/>
  <c r="F12" i="3"/>
  <c r="AI45" i="16"/>
  <c r="I13" i="64"/>
  <c r="I21" i="64"/>
  <c r="AI260" i="9"/>
  <c r="AI361" i="9" s="1"/>
  <c r="H13" i="64" s="1"/>
  <c r="AG78" i="1"/>
  <c r="AG195" i="1" s="1"/>
  <c r="AI101" i="9"/>
  <c r="AI71" i="16"/>
  <c r="AI80" i="16" s="1"/>
  <c r="F13" i="64"/>
  <c r="C19" i="64"/>
  <c r="C21" i="64" s="1"/>
  <c r="H61" i="18"/>
  <c r="H64" i="18" s="1"/>
  <c r="S64" i="18"/>
  <c r="N64" i="18"/>
  <c r="R292" i="1"/>
  <c r="I64" i="18"/>
  <c r="T49" i="18"/>
  <c r="H13" i="3" s="1"/>
  <c r="E6" i="3"/>
  <c r="G292" i="1"/>
  <c r="T53" i="18"/>
  <c r="H14" i="3" s="1"/>
  <c r="I240" i="16"/>
  <c r="I243" i="16" s="1"/>
  <c r="I455" i="9"/>
  <c r="I459" i="9" s="1"/>
  <c r="I460" i="9" s="1"/>
  <c r="N240" i="16"/>
  <c r="N243" i="16" s="1"/>
  <c r="R240" i="16"/>
  <c r="R243" i="16" s="1"/>
  <c r="O240" i="16"/>
  <c r="O243" i="16" s="1"/>
  <c r="S240" i="16"/>
  <c r="S243" i="16" s="1"/>
  <c r="T240" i="16"/>
  <c r="T243" i="16" s="1"/>
  <c r="P240" i="16"/>
  <c r="P243" i="16" s="1"/>
  <c r="L240" i="16"/>
  <c r="L243" i="16" s="1"/>
  <c r="G14" i="3"/>
  <c r="M240" i="16"/>
  <c r="M243" i="16" s="1"/>
  <c r="Q240" i="16"/>
  <c r="Q243" i="16" s="1"/>
  <c r="O455" i="9"/>
  <c r="O459" i="9" s="1"/>
  <c r="O460" i="9" s="1"/>
  <c r="S455" i="9"/>
  <c r="L455" i="9"/>
  <c r="L459" i="9" s="1"/>
  <c r="L460" i="9" s="1"/>
  <c r="P455" i="9"/>
  <c r="P459" i="9" s="1"/>
  <c r="P460" i="9" s="1"/>
  <c r="T455" i="9"/>
  <c r="T459" i="9" s="1"/>
  <c r="T460" i="9" s="1"/>
  <c r="N455" i="9"/>
  <c r="N459" i="9" s="1"/>
  <c r="N460" i="9" s="1"/>
  <c r="R455" i="9"/>
  <c r="R459" i="9" s="1"/>
  <c r="R460" i="9" s="1"/>
  <c r="M455" i="9"/>
  <c r="M459" i="9" s="1"/>
  <c r="M460" i="9" s="1"/>
  <c r="Q455" i="9"/>
  <c r="Q459" i="9" s="1"/>
  <c r="Q460" i="9" s="1"/>
  <c r="T45" i="18"/>
  <c r="G11" i="3"/>
  <c r="G7" i="3"/>
  <c r="G13" i="3"/>
  <c r="G10" i="3"/>
  <c r="G12" i="3"/>
  <c r="U12" i="9"/>
  <c r="E11" i="3" l="1"/>
  <c r="H12" i="3"/>
  <c r="T61" i="18"/>
  <c r="AP64" i="16"/>
  <c r="AP68" i="16" s="1"/>
  <c r="AI68" i="16"/>
  <c r="I15" i="64" s="1"/>
  <c r="U70" i="9"/>
  <c r="U96" i="9"/>
  <c r="F6" i="3" s="1"/>
  <c r="AT139" i="6"/>
  <c r="AR139" i="6"/>
  <c r="C7" i="98" s="1"/>
  <c r="AP139" i="6"/>
  <c r="AN139" i="6"/>
  <c r="AT46" i="6"/>
  <c r="AP46" i="6"/>
  <c r="AN46" i="6"/>
  <c r="H12" i="64"/>
  <c r="AS126" i="9"/>
  <c r="AS257" i="9" s="1"/>
  <c r="AQ126" i="9"/>
  <c r="AQ257" i="9" s="1"/>
  <c r="AO126" i="9"/>
  <c r="AO257" i="9" s="1"/>
  <c r="AU126" i="9"/>
  <c r="AU257" i="9" s="1"/>
  <c r="AJ457" i="9"/>
  <c r="AI103" i="9"/>
  <c r="H15" i="64" s="1"/>
  <c r="AQ101" i="9"/>
  <c r="AQ103" i="9" s="1"/>
  <c r="AO103" i="9"/>
  <c r="AU101" i="9"/>
  <c r="AU103" i="9" s="1"/>
  <c r="AS101" i="9"/>
  <c r="AS103" i="9" s="1"/>
  <c r="AR46" i="6"/>
  <c r="AQ260" i="9"/>
  <c r="AQ361" i="9" s="1"/>
  <c r="AO260" i="9"/>
  <c r="AO361" i="9" s="1"/>
  <c r="AU260" i="9"/>
  <c r="AU361" i="9" s="1"/>
  <c r="AS260" i="9"/>
  <c r="AS361" i="9" s="1"/>
  <c r="AQ73" i="9"/>
  <c r="AQ96" i="9" s="1"/>
  <c r="AO73" i="9"/>
  <c r="AO96" i="9" s="1"/>
  <c r="AU73" i="9"/>
  <c r="AU96" i="9" s="1"/>
  <c r="AS73" i="9"/>
  <c r="AS96" i="9" s="1"/>
  <c r="AO121" i="9"/>
  <c r="AS121" i="9"/>
  <c r="AQ121" i="9"/>
  <c r="AU121" i="9"/>
  <c r="AI122" i="9"/>
  <c r="G13" i="64"/>
  <c r="AQ126" i="7"/>
  <c r="AQ180" i="7" s="1"/>
  <c r="AO126" i="7"/>
  <c r="AO180" i="7" s="1"/>
  <c r="AM126" i="7"/>
  <c r="AM180" i="7" s="1"/>
  <c r="I6" i="64"/>
  <c r="AT12" i="16"/>
  <c r="AT45" i="16" s="1"/>
  <c r="AR12" i="16"/>
  <c r="AR45" i="16" s="1"/>
  <c r="AN12" i="16"/>
  <c r="AN45" i="16" s="1"/>
  <c r="AP12" i="16"/>
  <c r="AP45" i="16" s="1"/>
  <c r="AR64" i="16"/>
  <c r="AR68" i="16" s="1"/>
  <c r="AT64" i="16"/>
  <c r="AT68" i="16" s="1"/>
  <c r="AN64" i="16"/>
  <c r="AN68" i="16" s="1"/>
  <c r="AP71" i="16"/>
  <c r="AP80" i="16" s="1"/>
  <c r="AN71" i="16"/>
  <c r="AN80" i="16" s="1"/>
  <c r="AT71" i="16"/>
  <c r="AT80" i="16" s="1"/>
  <c r="AR71" i="16"/>
  <c r="AR80" i="16" s="1"/>
  <c r="AM78" i="1"/>
  <c r="AI97" i="9"/>
  <c r="J16" i="64"/>
  <c r="J23" i="64" s="1"/>
  <c r="J25" i="64" s="1"/>
  <c r="H21" i="64"/>
  <c r="F16" i="64"/>
  <c r="AI85" i="16"/>
  <c r="AI140" i="16" s="1"/>
  <c r="AI61" i="16"/>
  <c r="U453" i="9"/>
  <c r="F15" i="3" s="1"/>
  <c r="U240" i="16"/>
  <c r="U257" i="9"/>
  <c r="F8" i="3" s="1"/>
  <c r="AI12" i="9"/>
  <c r="AI70" i="9" s="1"/>
  <c r="G5" i="3"/>
  <c r="S459" i="9"/>
  <c r="S460" i="9" s="1"/>
  <c r="T64" i="18"/>
  <c r="J455" i="9"/>
  <c r="J459" i="9" s="1"/>
  <c r="J460" i="9" s="1"/>
  <c r="J10" i="3"/>
  <c r="G6" i="3"/>
  <c r="H11" i="3"/>
  <c r="G15" i="3"/>
  <c r="K240" i="16"/>
  <c r="K243" i="16" s="1"/>
  <c r="J240" i="16"/>
  <c r="J243" i="16" s="1"/>
  <c r="K455" i="9"/>
  <c r="K459" i="9" s="1"/>
  <c r="K460" i="9" s="1"/>
  <c r="G8" i="3"/>
  <c r="K242" i="7"/>
  <c r="J242" i="7"/>
  <c r="U232" i="7"/>
  <c r="U240" i="7" s="1"/>
  <c r="K221" i="7"/>
  <c r="J221" i="7"/>
  <c r="K184" i="7"/>
  <c r="J184" i="7"/>
  <c r="K183" i="7"/>
  <c r="J183" i="7"/>
  <c r="K182" i="7"/>
  <c r="J182" i="7"/>
  <c r="K181" i="7"/>
  <c r="J181" i="7"/>
  <c r="U120" i="7"/>
  <c r="U118" i="7"/>
  <c r="K82" i="7"/>
  <c r="J82" i="7"/>
  <c r="K81" i="7"/>
  <c r="J81" i="7"/>
  <c r="K80" i="7"/>
  <c r="J80" i="7"/>
  <c r="K79" i="7"/>
  <c r="J79" i="7"/>
  <c r="I78" i="7"/>
  <c r="U67" i="7"/>
  <c r="U78" i="7" s="1"/>
  <c r="K66" i="7"/>
  <c r="J66" i="7"/>
  <c r="K65" i="7"/>
  <c r="J65" i="7"/>
  <c r="K53" i="7"/>
  <c r="J53" i="7"/>
  <c r="K52" i="7"/>
  <c r="J52" i="7"/>
  <c r="K50" i="7"/>
  <c r="K51" i="7" s="1"/>
  <c r="J50" i="7"/>
  <c r="J51" i="7" s="1"/>
  <c r="K10" i="7"/>
  <c r="J10" i="7"/>
  <c r="K9" i="7"/>
  <c r="J9" i="7"/>
  <c r="AG182" i="5"/>
  <c r="AF182" i="5"/>
  <c r="AE182" i="5"/>
  <c r="AD182" i="5"/>
  <c r="AC182" i="5"/>
  <c r="AB182" i="5"/>
  <c r="Z182" i="5"/>
  <c r="Y182" i="5"/>
  <c r="K165" i="6"/>
  <c r="K166" i="6" s="1"/>
  <c r="J165" i="6"/>
  <c r="J166" i="6" s="1"/>
  <c r="K163" i="6"/>
  <c r="J163" i="6"/>
  <c r="K162" i="6"/>
  <c r="J162" i="6"/>
  <c r="K138" i="6"/>
  <c r="K139" i="6" s="1"/>
  <c r="J138" i="6"/>
  <c r="J139" i="6" s="1"/>
  <c r="U134" i="6"/>
  <c r="U127" i="6"/>
  <c r="U122" i="6"/>
  <c r="K120" i="6"/>
  <c r="J120" i="6"/>
  <c r="K119" i="6"/>
  <c r="J119" i="6"/>
  <c r="K118" i="6"/>
  <c r="J118" i="6"/>
  <c r="K117" i="6"/>
  <c r="J117" i="6"/>
  <c r="K62" i="6"/>
  <c r="J62" i="6"/>
  <c r="K60" i="6"/>
  <c r="K61" i="6" s="1"/>
  <c r="J60" i="6"/>
  <c r="J61" i="6" s="1"/>
  <c r="K50" i="6"/>
  <c r="J50" i="6"/>
  <c r="K49" i="6"/>
  <c r="J49" i="6"/>
  <c r="K48" i="6"/>
  <c r="J48" i="6"/>
  <c r="K25" i="6"/>
  <c r="J25" i="6"/>
  <c r="K24" i="6"/>
  <c r="J24" i="6"/>
  <c r="K10" i="6"/>
  <c r="J10" i="6"/>
  <c r="K9" i="6"/>
  <c r="J9" i="6"/>
  <c r="W78" i="7" l="1"/>
  <c r="AJ67" i="7"/>
  <c r="AJ78" i="7" s="1"/>
  <c r="AT172" i="6"/>
  <c r="AR172" i="6"/>
  <c r="AN120" i="6"/>
  <c r="AP172" i="6"/>
  <c r="U161" i="6"/>
  <c r="D14" i="3" s="1"/>
  <c r="AN172" i="6"/>
  <c r="AM195" i="1"/>
  <c r="AM292" i="1" s="1"/>
  <c r="AQ292" i="1" s="1"/>
  <c r="C13" i="98"/>
  <c r="W123" i="7"/>
  <c r="AJ252" i="7"/>
  <c r="H6" i="64"/>
  <c r="AO12" i="9"/>
  <c r="AO70" i="9" s="1"/>
  <c r="AO456" i="9" s="1"/>
  <c r="AU12" i="9"/>
  <c r="AU70" i="9" s="1"/>
  <c r="AU456" i="9" s="1"/>
  <c r="AS12" i="9"/>
  <c r="AS70" i="9" s="1"/>
  <c r="AS456" i="9" s="1"/>
  <c r="AQ12" i="9"/>
  <c r="AQ70" i="9" s="1"/>
  <c r="AQ456" i="9" s="1"/>
  <c r="C12" i="64"/>
  <c r="AG292" i="1"/>
  <c r="AG300" i="1" s="1"/>
  <c r="AT48" i="16"/>
  <c r="AT61" i="16" s="1"/>
  <c r="AP48" i="16"/>
  <c r="AP61" i="16" s="1"/>
  <c r="AR48" i="16"/>
  <c r="AR61" i="16" s="1"/>
  <c r="AN48" i="16"/>
  <c r="AN61" i="16" s="1"/>
  <c r="C5" i="98" s="1"/>
  <c r="AT85" i="16"/>
  <c r="AT140" i="16" s="1"/>
  <c r="AP85" i="16"/>
  <c r="AP140" i="16" s="1"/>
  <c r="I12" i="64"/>
  <c r="AR85" i="16"/>
  <c r="AR140" i="16" s="1"/>
  <c r="AN85" i="16"/>
  <c r="AN140" i="16" s="1"/>
  <c r="H7" i="64"/>
  <c r="H8" i="64"/>
  <c r="I8" i="64"/>
  <c r="H16" i="64"/>
  <c r="M10" i="3"/>
  <c r="F5" i="3"/>
  <c r="F16" i="3" s="1"/>
  <c r="U455" i="9"/>
  <c r="U243" i="16"/>
  <c r="AI67" i="7"/>
  <c r="AI78" i="7" s="1"/>
  <c r="AH53" i="5"/>
  <c r="AH65" i="5" s="1"/>
  <c r="G21" i="64"/>
  <c r="E15" i="64"/>
  <c r="N168" i="6"/>
  <c r="R168" i="6"/>
  <c r="O168" i="6"/>
  <c r="S168" i="6"/>
  <c r="T168" i="6"/>
  <c r="L168" i="6"/>
  <c r="P168" i="6"/>
  <c r="M168" i="6"/>
  <c r="Q168" i="6"/>
  <c r="U460" i="9"/>
  <c r="U459" i="9"/>
  <c r="U22" i="6"/>
  <c r="U170" i="6" s="1"/>
  <c r="U174" i="6" s="1"/>
  <c r="U11" i="6"/>
  <c r="U121" i="6"/>
  <c r="U139" i="6" s="1"/>
  <c r="U51" i="6"/>
  <c r="U58" i="6"/>
  <c r="G16" i="3"/>
  <c r="H16" i="3"/>
  <c r="U207" i="7"/>
  <c r="U111" i="7"/>
  <c r="U113" i="7"/>
  <c r="U116" i="7"/>
  <c r="U102" i="7"/>
  <c r="U110" i="7"/>
  <c r="U112" i="7"/>
  <c r="U114" i="7"/>
  <c r="U115" i="7"/>
  <c r="U117" i="7"/>
  <c r="U101" i="7"/>
  <c r="U203" i="7"/>
  <c r="U205" i="7"/>
  <c r="U204" i="7"/>
  <c r="U196" i="7"/>
  <c r="U185" i="7"/>
  <c r="U89" i="7"/>
  <c r="U90" i="7"/>
  <c r="U84" i="7"/>
  <c r="U106" i="7"/>
  <c r="U107" i="7"/>
  <c r="U192" i="7"/>
  <c r="U200" i="7"/>
  <c r="U202" i="7"/>
  <c r="E7" i="3"/>
  <c r="U92" i="7"/>
  <c r="U187" i="7"/>
  <c r="U87" i="7"/>
  <c r="U93" i="7"/>
  <c r="U94" i="7"/>
  <c r="U109" i="7"/>
  <c r="U189" i="7"/>
  <c r="U206" i="7"/>
  <c r="U83" i="7"/>
  <c r="U86" i="7"/>
  <c r="U108" i="7"/>
  <c r="U186" i="7"/>
  <c r="U191" i="7"/>
  <c r="U195" i="7"/>
  <c r="U188" i="7"/>
  <c r="U193" i="7"/>
  <c r="U197" i="7"/>
  <c r="C16" i="64" l="1"/>
  <c r="C23" i="64" s="1"/>
  <c r="C25" i="64" s="1"/>
  <c r="U123" i="7"/>
  <c r="U220" i="7"/>
  <c r="E12" i="3" s="1"/>
  <c r="AV172" i="6"/>
  <c r="C20" i="98" s="1"/>
  <c r="U61" i="6"/>
  <c r="U23" i="6"/>
  <c r="D5" i="3" s="1"/>
  <c r="AN242" i="16"/>
  <c r="AI456" i="9"/>
  <c r="AI71" i="9"/>
  <c r="AR242" i="16"/>
  <c r="AP242" i="16"/>
  <c r="O175" i="6"/>
  <c r="R175" i="6"/>
  <c r="N175" i="6"/>
  <c r="Q175" i="6"/>
  <c r="M175" i="6"/>
  <c r="G8" i="64"/>
  <c r="AQ67" i="7"/>
  <c r="AQ78" i="7" s="1"/>
  <c r="AO67" i="7"/>
  <c r="AO78" i="7" s="1"/>
  <c r="AM67" i="7"/>
  <c r="AM78" i="7" s="1"/>
  <c r="AW456" i="9"/>
  <c r="C22" i="98" s="1"/>
  <c r="L175" i="6"/>
  <c r="P175" i="6"/>
  <c r="T175" i="6"/>
  <c r="S175" i="6"/>
  <c r="AM53" i="5"/>
  <c r="C6" i="98"/>
  <c r="AT242" i="16"/>
  <c r="H9" i="64"/>
  <c r="H23" i="64" s="1"/>
  <c r="AI242" i="16"/>
  <c r="I16" i="64"/>
  <c r="I7" i="64"/>
  <c r="G7" i="64"/>
  <c r="L15" i="64"/>
  <c r="E14" i="3"/>
  <c r="J14" i="3" s="1"/>
  <c r="F19" i="3" s="1"/>
  <c r="R172" i="6"/>
  <c r="R173" i="6" s="1"/>
  <c r="O172" i="6"/>
  <c r="O173" i="6" s="1"/>
  <c r="T172" i="6"/>
  <c r="T173" i="6" s="1"/>
  <c r="P172" i="6"/>
  <c r="P173" i="6" s="1"/>
  <c r="L172" i="6"/>
  <c r="S172" i="6"/>
  <c r="S173" i="6" s="1"/>
  <c r="Q172" i="6"/>
  <c r="Q173" i="6" s="1"/>
  <c r="N172" i="6"/>
  <c r="N173" i="6" s="1"/>
  <c r="J168" i="6"/>
  <c r="K168" i="6"/>
  <c r="J7" i="3"/>
  <c r="D12" i="3"/>
  <c r="E15" i="3" l="1"/>
  <c r="H25" i="64"/>
  <c r="AV242" i="16"/>
  <c r="C23" i="98" s="1"/>
  <c r="K175" i="6"/>
  <c r="J175" i="6"/>
  <c r="AM83" i="7"/>
  <c r="AM123" i="7" s="1"/>
  <c r="AQ83" i="7"/>
  <c r="AQ123" i="7" s="1"/>
  <c r="AQ251" i="7" s="1"/>
  <c r="AO83" i="7"/>
  <c r="AO123" i="7" s="1"/>
  <c r="AQ53" i="5"/>
  <c r="AQ65" i="5" s="1"/>
  <c r="AM65" i="5"/>
  <c r="C15" i="98" s="1"/>
  <c r="I9" i="64"/>
  <c r="I23" i="64" s="1"/>
  <c r="I25" i="64" s="1"/>
  <c r="G12" i="64"/>
  <c r="F21" i="64"/>
  <c r="F23" i="64" s="1"/>
  <c r="AI172" i="6"/>
  <c r="M7" i="3"/>
  <c r="N15" i="64"/>
  <c r="E8" i="64"/>
  <c r="M14" i="3"/>
  <c r="U168" i="6"/>
  <c r="L173" i="6"/>
  <c r="M172" i="6"/>
  <c r="M173" i="6" s="1"/>
  <c r="D8" i="3"/>
  <c r="D16" i="3" s="1"/>
  <c r="J233" i="5"/>
  <c r="I233" i="5"/>
  <c r="J212" i="5"/>
  <c r="I212" i="5"/>
  <c r="T187" i="5"/>
  <c r="T211" i="5" s="1"/>
  <c r="J186" i="5"/>
  <c r="J185" i="5"/>
  <c r="J184" i="5"/>
  <c r="J183" i="5"/>
  <c r="I183" i="5"/>
  <c r="J181" i="5"/>
  <c r="J182" i="5" s="1"/>
  <c r="I181" i="5"/>
  <c r="I182" i="5" s="1"/>
  <c r="J69" i="5"/>
  <c r="I69" i="5"/>
  <c r="J68" i="5"/>
  <c r="I68" i="5"/>
  <c r="J67" i="5"/>
  <c r="I67" i="5"/>
  <c r="J66" i="5"/>
  <c r="I66" i="5"/>
  <c r="J47" i="5"/>
  <c r="I47" i="5"/>
  <c r="J46" i="5"/>
  <c r="I46" i="5"/>
  <c r="J44" i="5"/>
  <c r="J45" i="5" s="1"/>
  <c r="I44" i="5"/>
  <c r="I45" i="5" s="1"/>
  <c r="J40" i="5"/>
  <c r="I40" i="5"/>
  <c r="J39" i="5"/>
  <c r="I39" i="5"/>
  <c r="J37" i="5"/>
  <c r="J38" i="5" s="1"/>
  <c r="I37" i="5"/>
  <c r="I38" i="5" s="1"/>
  <c r="T11" i="5"/>
  <c r="T38" i="5" s="1"/>
  <c r="S74" i="1" s="1"/>
  <c r="J10" i="5"/>
  <c r="I10" i="5"/>
  <c r="J9" i="5"/>
  <c r="I9" i="5"/>
  <c r="T235" i="5" l="1"/>
  <c r="J235" i="5"/>
  <c r="I235" i="5"/>
  <c r="U175" i="6"/>
  <c r="U177" i="6"/>
  <c r="I177" i="6"/>
  <c r="P177" i="6"/>
  <c r="O177" i="6"/>
  <c r="L177" i="6"/>
  <c r="R177" i="6"/>
  <c r="N177" i="6"/>
  <c r="Q177" i="6"/>
  <c r="T177" i="6"/>
  <c r="M177" i="6"/>
  <c r="S177" i="6"/>
  <c r="C10" i="98"/>
  <c r="C9" i="98"/>
  <c r="J177" i="6"/>
  <c r="K177" i="6"/>
  <c r="F25" i="64"/>
  <c r="G16" i="64"/>
  <c r="L12" i="64"/>
  <c r="L8" i="64"/>
  <c r="J172" i="6"/>
  <c r="K172" i="6"/>
  <c r="K173" i="6" s="1"/>
  <c r="X182" i="5"/>
  <c r="AH129" i="5"/>
  <c r="N12" i="64" l="1"/>
  <c r="D12" i="64" s="1"/>
  <c r="W182" i="5"/>
  <c r="AI70" i="5"/>
  <c r="AI182" i="5" s="1"/>
  <c r="AO129" i="5"/>
  <c r="AM129" i="5"/>
  <c r="AQ129" i="5"/>
  <c r="AS129" i="5"/>
  <c r="AM190" i="5"/>
  <c r="AS190" i="5"/>
  <c r="AO190" i="5"/>
  <c r="AQ190" i="5"/>
  <c r="AS188" i="5"/>
  <c r="AM188" i="5"/>
  <c r="AQ188" i="5"/>
  <c r="AO188" i="5"/>
  <c r="AS189" i="5"/>
  <c r="AM189" i="5"/>
  <c r="AO189" i="5"/>
  <c r="AQ189" i="5"/>
  <c r="N8" i="64"/>
  <c r="AH70" i="5"/>
  <c r="AH182" i="5" s="1"/>
  <c r="AH11" i="5"/>
  <c r="AH38" i="5" s="1"/>
  <c r="U172" i="6"/>
  <c r="J173" i="6"/>
  <c r="U173" i="6" s="1"/>
  <c r="E13" i="64" l="1"/>
  <c r="AS70" i="5"/>
  <c r="AS182" i="5" s="1"/>
  <c r="AM70" i="5"/>
  <c r="AM182" i="5" s="1"/>
  <c r="C11" i="98" s="1"/>
  <c r="AO70" i="5"/>
  <c r="AO182" i="5" s="1"/>
  <c r="C12" i="98" s="1"/>
  <c r="AQ70" i="5"/>
  <c r="AQ182" i="5" s="1"/>
  <c r="AQ187" i="5"/>
  <c r="AQ211" i="5" s="1"/>
  <c r="AS187" i="5"/>
  <c r="AS211" i="5" s="1"/>
  <c r="AM187" i="5"/>
  <c r="AM211" i="5" s="1"/>
  <c r="AO187" i="5"/>
  <c r="AO211" i="5" s="1"/>
  <c r="AM11" i="5"/>
  <c r="AO11" i="5"/>
  <c r="AQ11" i="5"/>
  <c r="AS11" i="5"/>
  <c r="C11" i="3"/>
  <c r="J11" i="3" s="1"/>
  <c r="J245" i="5"/>
  <c r="C6" i="3"/>
  <c r="J6" i="3" s="1"/>
  <c r="M6" i="3" s="1"/>
  <c r="C13" i="3"/>
  <c r="J292" i="1"/>
  <c r="K292" i="1"/>
  <c r="L292" i="1"/>
  <c r="M292" i="1"/>
  <c r="N292" i="1"/>
  <c r="O292" i="1"/>
  <c r="P292" i="1"/>
  <c r="Q292" i="1"/>
  <c r="H289" i="1"/>
  <c r="H290" i="1" s="1"/>
  <c r="H280" i="1"/>
  <c r="H281" i="1" s="1"/>
  <c r="H265" i="1"/>
  <c r="H266" i="1" s="1"/>
  <c r="H71" i="1"/>
  <c r="H72" i="1" s="1"/>
  <c r="L19" i="64" l="1"/>
  <c r="N19" i="64" s="1"/>
  <c r="E20" i="64"/>
  <c r="L20" i="64" s="1"/>
  <c r="AS235" i="5"/>
  <c r="AQ235" i="5"/>
  <c r="C8" i="98"/>
  <c r="AO235" i="5"/>
  <c r="AM235" i="5"/>
  <c r="T245" i="5"/>
  <c r="H245" i="5"/>
  <c r="S245" i="5"/>
  <c r="Q245" i="5"/>
  <c r="R245" i="5"/>
  <c r="N245" i="5"/>
  <c r="P245" i="5"/>
  <c r="M245" i="5"/>
  <c r="O245" i="5"/>
  <c r="L245" i="5"/>
  <c r="K245" i="5"/>
  <c r="I245" i="5"/>
  <c r="L13" i="64"/>
  <c r="E16" i="64"/>
  <c r="M11" i="3"/>
  <c r="E7" i="64"/>
  <c r="AH235" i="5"/>
  <c r="I71" i="1"/>
  <c r="I72" i="1" s="1"/>
  <c r="I265" i="1"/>
  <c r="I266" i="1" s="1"/>
  <c r="J13" i="3"/>
  <c r="C16" i="3"/>
  <c r="S286" i="1"/>
  <c r="N20" i="64" l="1"/>
  <c r="N21" i="64" s="1"/>
  <c r="E21" i="64"/>
  <c r="L21" i="64"/>
  <c r="AW235" i="5"/>
  <c r="C19" i="98" s="1"/>
  <c r="D19" i="64"/>
  <c r="S290" i="1"/>
  <c r="B15" i="3" s="1"/>
  <c r="N13" i="64"/>
  <c r="N16" i="64" s="1"/>
  <c r="L16" i="64"/>
  <c r="M13" i="3"/>
  <c r="L7" i="64"/>
  <c r="E9" i="64"/>
  <c r="E23" i="64" l="1"/>
  <c r="E25" i="64" s="1"/>
  <c r="N7" i="64"/>
  <c r="H292" i="1"/>
  <c r="J15" i="3"/>
  <c r="S266" i="1"/>
  <c r="I292" i="1"/>
  <c r="S292" i="1" l="1"/>
  <c r="M15" i="3"/>
  <c r="W51" i="7"/>
  <c r="B5" i="3"/>
  <c r="B12" i="3"/>
  <c r="B8" i="3"/>
  <c r="T237" i="5" l="1"/>
  <c r="G6" i="64"/>
  <c r="AO51" i="7"/>
  <c r="AO251" i="7" s="1"/>
  <c r="AM51" i="7"/>
  <c r="E5" i="3"/>
  <c r="J5" i="3" s="1"/>
  <c r="M5" i="3" s="1"/>
  <c r="J12" i="3"/>
  <c r="M12" i="3" s="1"/>
  <c r="B16" i="3"/>
  <c r="B18" i="3" l="1"/>
  <c r="AI251" i="7"/>
  <c r="C4" i="98"/>
  <c r="AM251" i="7"/>
  <c r="AS251" i="7" s="1"/>
  <c r="C21" i="98" s="1"/>
  <c r="S296" i="1"/>
  <c r="R296" i="1"/>
  <c r="G296" i="1"/>
  <c r="P296" i="1"/>
  <c r="J296" i="1"/>
  <c r="O296" i="1"/>
  <c r="M296" i="1"/>
  <c r="L296" i="1"/>
  <c r="N296" i="1"/>
  <c r="K296" i="1"/>
  <c r="Q296" i="1"/>
  <c r="I296" i="1"/>
  <c r="H296" i="1"/>
  <c r="T240" i="5"/>
  <c r="L6" i="64"/>
  <c r="G9" i="64"/>
  <c r="G23" i="64" s="1"/>
  <c r="G25" i="64" l="1"/>
  <c r="C25" i="98"/>
  <c r="C16" i="98"/>
  <c r="T241" i="5"/>
  <c r="N6" i="64"/>
  <c r="L9" i="64"/>
  <c r="L23" i="64" s="1"/>
  <c r="L247" i="7"/>
  <c r="L250" i="7" s="1"/>
  <c r="Q247" i="7"/>
  <c r="Q250" i="7" s="1"/>
  <c r="T247" i="7"/>
  <c r="T250" i="7" s="1"/>
  <c r="P247" i="7"/>
  <c r="P250" i="7" s="1"/>
  <c r="R247" i="7"/>
  <c r="R250" i="7" s="1"/>
  <c r="S247" i="7"/>
  <c r="S250" i="7" s="1"/>
  <c r="N247" i="7"/>
  <c r="N250" i="7" s="1"/>
  <c r="O247" i="7"/>
  <c r="O250" i="7" s="1"/>
  <c r="K247" i="7"/>
  <c r="K250" i="7" s="1"/>
  <c r="J247" i="7"/>
  <c r="J250" i="7" s="1"/>
  <c r="M247" i="7"/>
  <c r="M250" i="7" s="1"/>
  <c r="I247" i="7"/>
  <c r="I250" i="7" s="1"/>
  <c r="U247" i="7"/>
  <c r="S300" i="1" s="1"/>
  <c r="C27" i="98" l="1"/>
  <c r="N9" i="64"/>
  <c r="D6" i="64"/>
  <c r="N23" i="64"/>
  <c r="U252" i="7"/>
  <c r="E8" i="3"/>
  <c r="J8" i="3" s="1"/>
  <c r="J16" i="3" s="1"/>
  <c r="U250" i="7"/>
  <c r="B17" i="3" l="1"/>
  <c r="M8" i="3"/>
  <c r="E16" i="3"/>
  <c r="E17" i="3" l="1"/>
  <c r="I17" i="3"/>
  <c r="F17" i="3"/>
  <c r="H17" i="3"/>
  <c r="G17" i="3"/>
  <c r="D17" i="3"/>
  <c r="C17" i="3"/>
  <c r="M16" i="3"/>
  <c r="M18" i="3" l="1"/>
  <c r="J29" i="3"/>
  <c r="M29" i="3" s="1"/>
  <c r="M3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1000-000001000000}">
      <text>
        <r>
          <rPr>
            <b/>
            <sz val="8"/>
            <color indexed="81"/>
            <rFont val="Tahoma"/>
            <family val="2"/>
          </rPr>
          <t>WCNX:</t>
        </r>
        <r>
          <rPr>
            <sz val="8"/>
            <color indexed="81"/>
            <rFont val="Tahoma"/>
            <family val="2"/>
          </rPr>
          <t xml:space="preserve">
Include bill areas: Battleground, LaCenter, Rural, UGA, and Yacolt.</t>
        </r>
      </text>
    </comment>
    <comment ref="C4" authorId="0" shapeId="0" xr:uid="{B04CDE5F-CB0C-4858-B886-3DCCD2ADC0B8}">
      <text>
        <r>
          <rPr>
            <b/>
            <sz val="8"/>
            <color indexed="81"/>
            <rFont val="Tahoma"/>
            <family val="2"/>
          </rPr>
          <t>WCNX:</t>
        </r>
        <r>
          <rPr>
            <sz val="8"/>
            <color indexed="81"/>
            <rFont val="Tahoma"/>
            <family val="2"/>
          </rPr>
          <t xml:space="preserve">
Populate from the Pam's report. Remember to divide the rates by two if they are a bi-monthly rate in the billing system.</t>
        </r>
      </text>
    </comment>
    <comment ref="D4" authorId="0" shapeId="0" xr:uid="{00000000-0006-0000-1000-000004000000}">
      <text>
        <r>
          <rPr>
            <b/>
            <sz val="8"/>
            <color indexed="81"/>
            <rFont val="Tahoma"/>
            <family val="2"/>
          </rPr>
          <t>WCNX:</t>
        </r>
        <r>
          <rPr>
            <sz val="8"/>
            <color indexed="81"/>
            <rFont val="Tahoma"/>
            <family val="2"/>
          </rPr>
          <t xml:space="preserve">
Populate from the Pam's report. Remember to divide the rates by two if they are a bi-monthly rate in the billing system.</t>
        </r>
      </text>
    </comment>
    <comment ref="E4" authorId="0" shapeId="0" xr:uid="{B8BFCC0E-D866-4184-B731-2410D94E7B14}">
      <text>
        <r>
          <rPr>
            <b/>
            <sz val="8"/>
            <color indexed="81"/>
            <rFont val="Tahoma"/>
            <family val="2"/>
          </rPr>
          <t>WCNX:</t>
        </r>
        <r>
          <rPr>
            <sz val="8"/>
            <color indexed="81"/>
            <rFont val="Tahoma"/>
            <family val="2"/>
          </rPr>
          <t xml:space="preserve">
Populate from the Pam's report. Remember to divide the rates by two if they are a bi-monthly rate in the billing system.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WCNX</author>
    <author>Pam Yaeger</author>
    <author>Lindsay Waldram</author>
  </authors>
  <commentList>
    <comment ref="C1" authorId="0" shapeId="0" xr:uid="{00000000-0006-0000-1100-000001000000}">
      <text>
        <r>
          <rPr>
            <b/>
            <sz val="8"/>
            <color indexed="81"/>
            <rFont val="Tahoma"/>
            <family val="2"/>
          </rPr>
          <t>WCNX:</t>
        </r>
        <r>
          <rPr>
            <sz val="8"/>
            <color indexed="81"/>
            <rFont val="Tahoma"/>
            <family val="2"/>
          </rPr>
          <t xml:space="preserve">
Includes Rural bill ares: Battleground, LaCenter, Rural, UGA and Yacolt.</t>
        </r>
      </text>
    </comment>
    <comment ref="D194" authorId="1" shapeId="0" xr:uid="{00000000-0006-0000-1100-000008000000}">
      <text>
        <r>
          <rPr>
            <b/>
            <sz val="9"/>
            <color indexed="81"/>
            <rFont val="Tahoma"/>
            <family val="2"/>
          </rPr>
          <t>Pam Yaeger:</t>
        </r>
        <r>
          <rPr>
            <sz val="9"/>
            <color indexed="81"/>
            <rFont val="Tahoma"/>
            <family val="2"/>
          </rPr>
          <t xml:space="preserve">
No charge for rent - haul rate is all inclusive with the exception of disposal</t>
        </r>
      </text>
    </comment>
    <comment ref="E194" authorId="1" shapeId="0" xr:uid="{161368C9-EE76-403F-B2E6-1032F7A7F18E}">
      <text>
        <r>
          <rPr>
            <b/>
            <sz val="9"/>
            <color indexed="81"/>
            <rFont val="Tahoma"/>
            <family val="2"/>
          </rPr>
          <t>Pam Yaeger:</t>
        </r>
        <r>
          <rPr>
            <sz val="9"/>
            <color indexed="81"/>
            <rFont val="Tahoma"/>
            <family val="2"/>
          </rPr>
          <t xml:space="preserve">
No charge for rent - haul rate is all inclusive with the exception of disposal</t>
        </r>
      </text>
    </comment>
    <comment ref="F194" authorId="1" shapeId="0" xr:uid="{505DA560-33FC-4D65-B212-C10847111C4A}">
      <text>
        <r>
          <rPr>
            <b/>
            <sz val="9"/>
            <color indexed="81"/>
            <rFont val="Tahoma"/>
            <family val="2"/>
          </rPr>
          <t>Pam Yaeger:</t>
        </r>
        <r>
          <rPr>
            <sz val="9"/>
            <color indexed="81"/>
            <rFont val="Tahoma"/>
            <family val="2"/>
          </rPr>
          <t xml:space="preserve">
No charge for rent - haul rate is all inclusive with the exception of disposal</t>
        </r>
      </text>
    </comment>
    <comment ref="D198" authorId="1" shapeId="0" xr:uid="{00000000-0006-0000-1100-00000A000000}">
      <text>
        <r>
          <rPr>
            <b/>
            <sz val="9"/>
            <color indexed="81"/>
            <rFont val="Tahoma"/>
            <family val="2"/>
          </rPr>
          <t>Pam Yaeger:</t>
        </r>
        <r>
          <rPr>
            <sz val="9"/>
            <color indexed="81"/>
            <rFont val="Tahoma"/>
            <family val="2"/>
          </rPr>
          <t xml:space="preserve">
Was used for Ilani when their disposal rate was different than everyone else so wasn't regulated by UTC should now be set to $0.00 </t>
        </r>
      </text>
    </comment>
    <comment ref="E198" authorId="1" shapeId="0" xr:uid="{F9DE6AA0-ADF7-499A-B40C-6551EC3F8349}">
      <text>
        <r>
          <rPr>
            <b/>
            <sz val="9"/>
            <color indexed="81"/>
            <rFont val="Tahoma"/>
            <family val="2"/>
          </rPr>
          <t>Pam Yaeger:</t>
        </r>
        <r>
          <rPr>
            <sz val="9"/>
            <color indexed="81"/>
            <rFont val="Tahoma"/>
            <family val="2"/>
          </rPr>
          <t xml:space="preserve">
Was used for Ilani when their disposal rate was different than everyone else so wasn't regulated by UTC should now be set to $0.00 </t>
        </r>
      </text>
    </comment>
    <comment ref="F198" authorId="1" shapeId="0" xr:uid="{46713967-70A0-4711-B053-D635E92B459E}">
      <text>
        <r>
          <rPr>
            <b/>
            <sz val="9"/>
            <color indexed="81"/>
            <rFont val="Tahoma"/>
            <family val="2"/>
          </rPr>
          <t>Pam Yaeger:</t>
        </r>
        <r>
          <rPr>
            <sz val="9"/>
            <color indexed="81"/>
            <rFont val="Tahoma"/>
            <family val="2"/>
          </rPr>
          <t xml:space="preserve">
Was used for Ilani when their disposal rate was different than everyone else so wasn't regulated by UTC should now be set to $0.00 </t>
        </r>
      </text>
    </comment>
    <comment ref="C207" authorId="1" shapeId="0" xr:uid="{00000000-0006-0000-1000-000015000000}">
      <text>
        <r>
          <rPr>
            <b/>
            <sz val="9"/>
            <color indexed="81"/>
            <rFont val="Tahoma"/>
            <family val="2"/>
          </rPr>
          <t>Pam Yaeger:</t>
        </r>
        <r>
          <rPr>
            <sz val="9"/>
            <color indexed="81"/>
            <rFont val="Tahoma"/>
            <family val="2"/>
          </rPr>
          <t xml:space="preserve">
We have no rate set for this rental - only compactor we rent is on lease to own in ilani contract.</t>
        </r>
      </text>
    </comment>
    <comment ref="D207" authorId="1" shapeId="0" xr:uid="{00000000-0006-0000-1000-000017000000}">
      <text>
        <r>
          <rPr>
            <b/>
            <sz val="9"/>
            <color indexed="81"/>
            <rFont val="Tahoma"/>
            <family val="2"/>
          </rPr>
          <t>Pam Yaeger:</t>
        </r>
        <r>
          <rPr>
            <sz val="9"/>
            <color indexed="81"/>
            <rFont val="Tahoma"/>
            <family val="2"/>
          </rPr>
          <t xml:space="preserve">
We have no rate set for this rental - only compactor we rent is on lease to own in ilani contract.</t>
        </r>
      </text>
    </comment>
    <comment ref="E207" authorId="1" shapeId="0" xr:uid="{D62C90E5-D2C1-400F-932F-13C49EEF5608}">
      <text>
        <r>
          <rPr>
            <b/>
            <sz val="9"/>
            <color indexed="81"/>
            <rFont val="Tahoma"/>
            <family val="2"/>
          </rPr>
          <t>Pam Yaeger:</t>
        </r>
        <r>
          <rPr>
            <sz val="9"/>
            <color indexed="81"/>
            <rFont val="Tahoma"/>
            <family val="2"/>
          </rPr>
          <t xml:space="preserve">
We have no rate set for this rental - only compactor we rent is on lease to own in ilani contract.</t>
        </r>
      </text>
    </comment>
    <comment ref="F207" authorId="1" shapeId="0" xr:uid="{037FE29E-29E5-4538-8A65-986BDD7F36C1}">
      <text>
        <r>
          <rPr>
            <b/>
            <sz val="9"/>
            <color indexed="81"/>
            <rFont val="Tahoma"/>
            <family val="2"/>
          </rPr>
          <t>Pam Yaeger:</t>
        </r>
        <r>
          <rPr>
            <sz val="9"/>
            <color indexed="81"/>
            <rFont val="Tahoma"/>
            <family val="2"/>
          </rPr>
          <t xml:space="preserve">
We have no rate set for this rental - only compactor we rent is on lease to own in ilani contract.</t>
        </r>
      </text>
    </comment>
    <comment ref="D209" authorId="2" shapeId="0" xr:uid="{00000000-0006-0000-1100-00000C000000}">
      <text>
        <r>
          <rPr>
            <b/>
            <sz val="9"/>
            <color indexed="81"/>
            <rFont val="Tahoma"/>
            <family val="2"/>
          </rPr>
          <t>Lindsay Waldram:</t>
        </r>
        <r>
          <rPr>
            <sz val="9"/>
            <color indexed="81"/>
            <rFont val="Tahoma"/>
            <family val="2"/>
          </rPr>
          <t xml:space="preserve">
Unregulated rate - Can't include</t>
        </r>
      </text>
    </comment>
    <comment ref="E209" authorId="2" shapeId="0" xr:uid="{262BA08E-CB64-432E-B89E-F9ACC3BB44B4}">
      <text>
        <r>
          <rPr>
            <b/>
            <sz val="9"/>
            <color indexed="81"/>
            <rFont val="Tahoma"/>
            <family val="2"/>
          </rPr>
          <t>Lindsay Waldram:</t>
        </r>
        <r>
          <rPr>
            <sz val="9"/>
            <color indexed="81"/>
            <rFont val="Tahoma"/>
            <family val="2"/>
          </rPr>
          <t xml:space="preserve">
Unregulated rate - Can't include</t>
        </r>
      </text>
    </comment>
    <comment ref="F209" authorId="2" shapeId="0" xr:uid="{98CB626E-5D6F-485D-B0FC-13170CD4E3F1}">
      <text>
        <r>
          <rPr>
            <b/>
            <sz val="9"/>
            <color indexed="81"/>
            <rFont val="Tahoma"/>
            <family val="2"/>
          </rPr>
          <t>Lindsay Waldram:</t>
        </r>
        <r>
          <rPr>
            <sz val="9"/>
            <color indexed="81"/>
            <rFont val="Tahoma"/>
            <family val="2"/>
          </rPr>
          <t xml:space="preserve">
Unregulated rate - Can't include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WCNX</author>
    <author>darcied</author>
    <author>Jennifer Hill</author>
    <author>HeatherL</author>
    <author>Brian Vandenburg</author>
  </authors>
  <commentList>
    <comment ref="D1" authorId="0" shapeId="0" xr:uid="{00000000-0006-0000-1300-000001000000}">
      <text>
        <r>
          <rPr>
            <b/>
            <sz val="8"/>
            <color indexed="81"/>
            <rFont val="Tahoma"/>
            <family val="2"/>
          </rPr>
          <t>WCNX:</t>
        </r>
        <r>
          <rPr>
            <sz val="8"/>
            <color indexed="81"/>
            <rFont val="Tahoma"/>
            <family val="2"/>
          </rPr>
          <t xml:space="preserve">
Includes Camas bill area. Note that WCI only provides recycling, YW, and drop box services to the City of Camas.  They provide their own garbage service.  Billed at City of Camas contract rates.</t>
        </r>
      </text>
    </comment>
    <comment ref="C22" authorId="1" shapeId="0" xr:uid="{00000000-0006-0000-1300-000002000000}">
      <text>
        <r>
          <rPr>
            <b/>
            <sz val="8"/>
            <color indexed="81"/>
            <rFont val="Tahoma"/>
            <family val="2"/>
          </rPr>
          <t>darcied:</t>
        </r>
        <r>
          <rPr>
            <sz val="8"/>
            <color indexed="81"/>
            <rFont val="Tahoma"/>
            <family val="2"/>
          </rPr>
          <t xml:space="preserve">
32000</t>
        </r>
      </text>
    </comment>
    <comment ref="C32" authorId="1" shapeId="0" xr:uid="{00000000-0006-0000-1300-000003000000}">
      <text>
        <r>
          <rPr>
            <b/>
            <sz val="8"/>
            <color indexed="81"/>
            <rFont val="Tahoma"/>
            <family val="2"/>
          </rPr>
          <t>darcied:</t>
        </r>
        <r>
          <rPr>
            <sz val="8"/>
            <color indexed="81"/>
            <rFont val="Tahoma"/>
            <family val="2"/>
          </rPr>
          <t xml:space="preserve">
32100</t>
        </r>
      </text>
    </comment>
    <comment ref="E32" authorId="2" shapeId="0" xr:uid="{00000000-0006-0000-1300-000005000000}">
      <text>
        <r>
          <rPr>
            <b/>
            <sz val="9"/>
            <color indexed="81"/>
            <rFont val="Tahoma"/>
            <family val="2"/>
          </rPr>
          <t>Jennifer Hill:</t>
        </r>
        <r>
          <rPr>
            <sz val="9"/>
            <color indexed="81"/>
            <rFont val="Tahoma"/>
            <family val="2"/>
          </rPr>
          <t xml:space="preserve">
$6.34 Rate
$1.07 Commodity Fee</t>
        </r>
      </text>
    </comment>
    <comment ref="F32" authorId="2" shapeId="0" xr:uid="{F0D216C0-D6FC-4BED-9282-4B6327235126}">
      <text>
        <r>
          <rPr>
            <b/>
            <sz val="9"/>
            <color indexed="81"/>
            <rFont val="Tahoma"/>
            <family val="2"/>
          </rPr>
          <t>Jennifer Hill:</t>
        </r>
        <r>
          <rPr>
            <sz val="9"/>
            <color indexed="81"/>
            <rFont val="Tahoma"/>
            <family val="2"/>
          </rPr>
          <t xml:space="preserve">
$6.34 Rate
$1.07 Commodity Fee</t>
        </r>
      </text>
    </comment>
    <comment ref="G32" authorId="2" shapeId="0" xr:uid="{7F5FEE06-1308-4D35-9BEC-C8DD1828E065}">
      <text>
        <r>
          <rPr>
            <b/>
            <sz val="9"/>
            <color indexed="81"/>
            <rFont val="Tahoma"/>
            <family val="2"/>
          </rPr>
          <t>Jennifer Hill:</t>
        </r>
        <r>
          <rPr>
            <sz val="9"/>
            <color indexed="81"/>
            <rFont val="Tahoma"/>
            <family val="2"/>
          </rPr>
          <t xml:space="preserve">
$6.34 Rate
$1.07 Commodity Fee</t>
        </r>
      </text>
    </comment>
    <comment ref="D51" authorId="3" shapeId="0" xr:uid="{00000000-0006-0000-1300-000006000000}">
      <text>
        <r>
          <rPr>
            <b/>
            <sz val="8"/>
            <color indexed="81"/>
            <rFont val="Tahoma"/>
            <family val="2"/>
          </rPr>
          <t>HeatherL:</t>
        </r>
        <r>
          <rPr>
            <sz val="8"/>
            <color indexed="81"/>
            <rFont val="Tahoma"/>
            <family val="2"/>
          </rPr>
          <t xml:space="preserve">
Camas Walgreens - special compactor haul uses county rates.</t>
        </r>
      </text>
    </comment>
    <comment ref="D53" authorId="3" shapeId="0" xr:uid="{DA931E38-93A5-4BFE-B247-9E118632DB4F}">
      <text>
        <r>
          <rPr>
            <b/>
            <sz val="8"/>
            <color indexed="81"/>
            <rFont val="Tahoma"/>
            <family val="2"/>
          </rPr>
          <t>HeatherL:</t>
        </r>
        <r>
          <rPr>
            <sz val="8"/>
            <color indexed="81"/>
            <rFont val="Tahoma"/>
            <family val="2"/>
          </rPr>
          <t xml:space="preserve">
Camas Walgreens - special compactor haul uses county rates.</t>
        </r>
      </text>
    </comment>
    <comment ref="D54" authorId="3" shapeId="0" xr:uid="{E0BDE099-9A14-4B24-B1FE-20281EB38AC7}">
      <text>
        <r>
          <rPr>
            <b/>
            <sz val="8"/>
            <color indexed="81"/>
            <rFont val="Tahoma"/>
            <family val="2"/>
          </rPr>
          <t>HeatherL:</t>
        </r>
        <r>
          <rPr>
            <sz val="8"/>
            <color indexed="81"/>
            <rFont val="Tahoma"/>
            <family val="2"/>
          </rPr>
          <t xml:space="preserve">
Camas Walgreens - special compactor haul uses county rates.</t>
        </r>
      </text>
    </comment>
    <comment ref="D55" authorId="3" shapeId="0" xr:uid="{50A301F3-908A-476C-81F1-FA30A3F7E72A}">
      <text>
        <r>
          <rPr>
            <b/>
            <sz val="8"/>
            <color indexed="81"/>
            <rFont val="Tahoma"/>
            <family val="2"/>
          </rPr>
          <t>HeatherL:</t>
        </r>
        <r>
          <rPr>
            <sz val="8"/>
            <color indexed="81"/>
            <rFont val="Tahoma"/>
            <family val="2"/>
          </rPr>
          <t xml:space="preserve">
Camas Walgreens - special compactor haul uses county rates.</t>
        </r>
      </text>
    </comment>
    <comment ref="D56" authorId="3" shapeId="0" xr:uid="{A4F7C280-B631-47FA-86A4-89AE6982CA66}">
      <text>
        <r>
          <rPr>
            <b/>
            <sz val="8"/>
            <color indexed="81"/>
            <rFont val="Tahoma"/>
            <family val="2"/>
          </rPr>
          <t>HeatherL:</t>
        </r>
        <r>
          <rPr>
            <sz val="8"/>
            <color indexed="81"/>
            <rFont val="Tahoma"/>
            <family val="2"/>
          </rPr>
          <t xml:space="preserve">
Camas Walgreens - special compactor haul uses county rates.</t>
        </r>
      </text>
    </comment>
    <comment ref="D57" authorId="3" shapeId="0" xr:uid="{541D2948-BB8E-463A-8448-18672638989E}">
      <text>
        <r>
          <rPr>
            <b/>
            <sz val="8"/>
            <color indexed="81"/>
            <rFont val="Tahoma"/>
            <family val="2"/>
          </rPr>
          <t>HeatherL:</t>
        </r>
        <r>
          <rPr>
            <sz val="8"/>
            <color indexed="81"/>
            <rFont val="Tahoma"/>
            <family val="2"/>
          </rPr>
          <t xml:space="preserve">
Camas Walgreens - special compactor haul uses county rates.</t>
        </r>
      </text>
    </comment>
    <comment ref="D58" authorId="3" shapeId="0" xr:uid="{00000000-0006-0000-1300-000007000000}">
      <text>
        <r>
          <rPr>
            <b/>
            <sz val="8"/>
            <color indexed="81"/>
            <rFont val="Tahoma"/>
            <family val="2"/>
          </rPr>
          <t>HeatherL:</t>
        </r>
        <r>
          <rPr>
            <sz val="8"/>
            <color indexed="81"/>
            <rFont val="Tahoma"/>
            <family val="2"/>
          </rPr>
          <t xml:space="preserve">
Camas Walgreens - special compactor haul uses county rates.</t>
        </r>
      </text>
    </comment>
    <comment ref="D142" authorId="4" shapeId="0" xr:uid="{00000000-0006-0000-1300-000008000000}">
      <text>
        <r>
          <rPr>
            <b/>
            <sz val="9"/>
            <color indexed="81"/>
            <rFont val="Tahoma"/>
            <family val="2"/>
          </rPr>
          <t>Brian Vandenburg:</t>
        </r>
        <r>
          <rPr>
            <sz val="9"/>
            <color indexed="81"/>
            <rFont val="Tahoma"/>
            <family val="2"/>
          </rPr>
          <t xml:space="preserve">
Used RO Hauls for RO Recycling cust counts.  District includes rent with haul and delivery fee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D1" authorId="0" shapeId="0" xr:uid="{00000000-0006-0000-1500-000001000000}">
      <text>
        <r>
          <rPr>
            <b/>
            <sz val="8"/>
            <color indexed="81"/>
            <rFont val="Tahoma"/>
            <family val="2"/>
          </rPr>
          <t>WCNX:</t>
        </r>
        <r>
          <rPr>
            <sz val="8"/>
            <color indexed="81"/>
            <rFont val="Tahoma"/>
            <family val="2"/>
          </rPr>
          <t xml:space="preserve">
Includes Ridgefield bill area. Billed at Ridgefield contract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WCNX</author>
    <author>HeatherL</author>
    <author>Zach Sly</author>
    <author>Darcie Bird</author>
    <author>Pam Yaeger</author>
  </authors>
  <commentList>
    <comment ref="D1" authorId="0" shapeId="0" xr:uid="{00000000-0006-0000-1700-000001000000}">
      <text>
        <r>
          <rPr>
            <b/>
            <sz val="8"/>
            <color indexed="81"/>
            <rFont val="Tahoma"/>
            <family val="2"/>
          </rPr>
          <t>WCNX:</t>
        </r>
        <r>
          <rPr>
            <sz val="8"/>
            <color indexed="81"/>
            <rFont val="Tahoma"/>
            <family val="2"/>
          </rPr>
          <t xml:space="preserve">
Includes bill area Vancouver.  Billed at City of Vancouver contract rates.</t>
        </r>
      </text>
    </comment>
    <comment ref="C94" authorId="1" shapeId="0" xr:uid="{00000000-0006-0000-1700-000002000000}">
      <text>
        <r>
          <rPr>
            <b/>
            <sz val="8"/>
            <color indexed="81"/>
            <rFont val="Tahoma"/>
            <family val="2"/>
          </rPr>
          <t>HeatherL:</t>
        </r>
        <r>
          <rPr>
            <sz val="8"/>
            <color indexed="81"/>
            <rFont val="Tahoma"/>
            <family val="2"/>
          </rPr>
          <t xml:space="preserve">
32100 - Supplemental revenue received from City of Vancouver for the recycling program - no associated customer count.</t>
        </r>
      </text>
    </comment>
    <comment ref="B253" authorId="2" shapeId="0" xr:uid="{A7FFFF8E-D064-499E-B0A0-A3A426747DAF}">
      <text>
        <r>
          <rPr>
            <b/>
            <sz val="9"/>
            <color indexed="81"/>
            <rFont val="Tahoma"/>
            <charset val="1"/>
          </rPr>
          <t>Zach Sly:</t>
        </r>
        <r>
          <rPr>
            <sz val="9"/>
            <color indexed="81"/>
            <rFont val="Tahoma"/>
            <charset val="1"/>
          </rPr>
          <t xml:space="preserve">
This got coded to 33000
</t>
        </r>
      </text>
    </comment>
    <comment ref="C309" authorId="3" shapeId="0" xr:uid="{00000000-0006-0000-1700-000003000000}">
      <text>
        <r>
          <rPr>
            <b/>
            <sz val="9"/>
            <color indexed="81"/>
            <rFont val="Tahoma"/>
            <family val="2"/>
          </rPr>
          <t>Darcie Bird:</t>
        </r>
        <r>
          <rPr>
            <sz val="9"/>
            <color indexed="81"/>
            <rFont val="Tahoma"/>
            <family val="2"/>
          </rPr>
          <t xml:space="preserve">
Replaced the City of Vancouver CFR codes.  These are strictly Commercial Food Waste…no Yard Debris</t>
        </r>
      </text>
    </comment>
    <comment ref="C310" authorId="3" shapeId="0" xr:uid="{00000000-0006-0000-1700-000004000000}">
      <text>
        <r>
          <rPr>
            <b/>
            <sz val="9"/>
            <color indexed="81"/>
            <rFont val="Tahoma"/>
            <family val="2"/>
          </rPr>
          <t>Darcie Bird:</t>
        </r>
        <r>
          <rPr>
            <sz val="9"/>
            <color indexed="81"/>
            <rFont val="Tahoma"/>
            <family val="2"/>
          </rPr>
          <t xml:space="preserve">
Replaced the City of Vancouver CFR codes.  These are strictly Commercial Food Waste…no Yard Debris</t>
        </r>
      </text>
    </comment>
    <comment ref="E427" authorId="4" shapeId="0" xr:uid="{00000000-0006-0000-1700-000008000000}">
      <text>
        <r>
          <rPr>
            <b/>
            <sz val="9"/>
            <color indexed="81"/>
            <rFont val="Tahoma"/>
            <family val="2"/>
          </rPr>
          <t>Pam Yaeger:</t>
        </r>
        <r>
          <rPr>
            <sz val="9"/>
            <color indexed="81"/>
            <rFont val="Tahoma"/>
            <family val="2"/>
          </rPr>
          <t xml:space="preserve">
No charge for rent on recycling - haul rate is all inclusive with the exception of disposal</t>
        </r>
      </text>
    </comment>
    <comment ref="F427" authorId="4" shapeId="0" xr:uid="{4A54ACFA-7D3F-4179-8609-162F53898A41}">
      <text>
        <r>
          <rPr>
            <b/>
            <sz val="9"/>
            <color indexed="81"/>
            <rFont val="Tahoma"/>
            <family val="2"/>
          </rPr>
          <t>Pam Yaeger:</t>
        </r>
        <r>
          <rPr>
            <sz val="9"/>
            <color indexed="81"/>
            <rFont val="Tahoma"/>
            <family val="2"/>
          </rPr>
          <t xml:space="preserve">
No charge for rent on recycling - haul rate is all inclusive with the exception of disposal</t>
        </r>
      </text>
    </comment>
    <comment ref="G427" authorId="4" shapeId="0" xr:uid="{D1EEE860-8AE2-4668-A37A-6E102F8F4460}">
      <text>
        <r>
          <rPr>
            <b/>
            <sz val="9"/>
            <color indexed="81"/>
            <rFont val="Tahoma"/>
            <family val="2"/>
          </rPr>
          <t>Pam Yaeger:</t>
        </r>
        <r>
          <rPr>
            <sz val="9"/>
            <color indexed="81"/>
            <rFont val="Tahoma"/>
            <family val="2"/>
          </rPr>
          <t xml:space="preserve">
No charge for rent on recycling - haul rate is all inclusive with the exception of disposal</t>
        </r>
      </text>
    </comment>
    <comment ref="E432" authorId="4" shapeId="0" xr:uid="{00000000-0006-0000-1700-00000A000000}">
      <text>
        <r>
          <rPr>
            <b/>
            <sz val="9"/>
            <color indexed="81"/>
            <rFont val="Tahoma"/>
            <family val="2"/>
          </rPr>
          <t>Pam Yaeger:</t>
        </r>
        <r>
          <rPr>
            <sz val="9"/>
            <color indexed="81"/>
            <rFont val="Tahoma"/>
            <family val="2"/>
          </rPr>
          <t xml:space="preserve">
No charge for tarping on recycling - haul rate is all inclusive with the exception of disposal</t>
        </r>
      </text>
    </comment>
    <comment ref="F432" authorId="4" shapeId="0" xr:uid="{BE8F077E-F609-4137-9A0D-144787AA9194}">
      <text>
        <r>
          <rPr>
            <b/>
            <sz val="9"/>
            <color indexed="81"/>
            <rFont val="Tahoma"/>
            <family val="2"/>
          </rPr>
          <t>Pam Yaeger:</t>
        </r>
        <r>
          <rPr>
            <sz val="9"/>
            <color indexed="81"/>
            <rFont val="Tahoma"/>
            <family val="2"/>
          </rPr>
          <t xml:space="preserve">
No charge for tarping on recycling - haul rate is all inclusive with the exception of disposal</t>
        </r>
      </text>
    </comment>
    <comment ref="G432" authorId="4" shapeId="0" xr:uid="{BB9C882D-512C-4C2C-92DA-9F9DD461CAA4}">
      <text>
        <r>
          <rPr>
            <b/>
            <sz val="9"/>
            <color indexed="81"/>
            <rFont val="Tahoma"/>
            <family val="2"/>
          </rPr>
          <t>Pam Yaeger:</t>
        </r>
        <r>
          <rPr>
            <sz val="9"/>
            <color indexed="81"/>
            <rFont val="Tahoma"/>
            <family val="2"/>
          </rPr>
          <t xml:space="preserve">
No charge for tarping on recycling - haul rate is all inclusive with the exception of disposal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WCNX</author>
    <author>Jennifer Hill</author>
  </authors>
  <commentList>
    <comment ref="D1" authorId="0" shapeId="0" xr:uid="{00000000-0006-0000-1900-000001000000}">
      <text>
        <r>
          <rPr>
            <b/>
            <sz val="8"/>
            <color indexed="81"/>
            <rFont val="Tahoma"/>
            <family val="2"/>
          </rPr>
          <t>WCNX:</t>
        </r>
        <r>
          <rPr>
            <sz val="8"/>
            <color indexed="81"/>
            <rFont val="Tahoma"/>
            <family val="2"/>
          </rPr>
          <t xml:space="preserve">
Includes bill area Washougal.  Billed at City of Washougal contract rates.</t>
        </r>
      </text>
    </comment>
    <comment ref="E4" authorId="0" shapeId="0" xr:uid="{00000000-0006-0000-1900-000003000000}">
      <text>
        <r>
          <rPr>
            <b/>
            <sz val="8"/>
            <color indexed="81"/>
            <rFont val="Tahoma"/>
            <family val="2"/>
          </rPr>
          <t>WCNX:</t>
        </r>
        <r>
          <rPr>
            <sz val="8"/>
            <color indexed="81"/>
            <rFont val="Tahoma"/>
            <family val="2"/>
          </rPr>
          <t xml:space="preserve">
Billed at Rural tariff rates.</t>
        </r>
      </text>
    </comment>
    <comment ref="F4" authorId="0" shapeId="0" xr:uid="{AC8A9DD4-04BE-4F0E-85B2-41DD122906E8}">
      <text>
        <r>
          <rPr>
            <b/>
            <sz val="8"/>
            <color indexed="81"/>
            <rFont val="Tahoma"/>
            <family val="2"/>
          </rPr>
          <t>WCNX:</t>
        </r>
        <r>
          <rPr>
            <sz val="8"/>
            <color indexed="81"/>
            <rFont val="Tahoma"/>
            <family val="2"/>
          </rPr>
          <t xml:space="preserve">
Billed at Rural tariff rates.</t>
        </r>
      </text>
    </comment>
    <comment ref="G4" authorId="0" shapeId="0" xr:uid="{7A0E2D23-D146-4E99-AE7E-93C559EC4B0E}">
      <text>
        <r>
          <rPr>
            <b/>
            <sz val="8"/>
            <color indexed="81"/>
            <rFont val="Tahoma"/>
            <family val="2"/>
          </rPr>
          <t>WCNX:</t>
        </r>
        <r>
          <rPr>
            <sz val="8"/>
            <color indexed="81"/>
            <rFont val="Tahoma"/>
            <family val="2"/>
          </rPr>
          <t xml:space="preserve">
Billed at Rural tariff rates.</t>
        </r>
      </text>
    </comment>
    <comment ref="E226" authorId="1" shapeId="0" xr:uid="{00000000-0006-0000-1900-000005000000}">
      <text>
        <r>
          <rPr>
            <b/>
            <sz val="9"/>
            <color indexed="81"/>
            <rFont val="Tahoma"/>
            <family val="2"/>
          </rPr>
          <t>Jennifer Hill:</t>
        </r>
        <r>
          <rPr>
            <sz val="9"/>
            <color indexed="81"/>
            <rFont val="Tahoma"/>
            <family val="2"/>
          </rPr>
          <t xml:space="preserve">
Rate fluctuates dependig on disp location.</t>
        </r>
      </text>
    </comment>
    <comment ref="F226" authorId="1" shapeId="0" xr:uid="{0F74A1BC-DF6B-43F9-BEBB-13DE2DE3CB04}">
      <text>
        <r>
          <rPr>
            <b/>
            <sz val="9"/>
            <color indexed="81"/>
            <rFont val="Tahoma"/>
            <family val="2"/>
          </rPr>
          <t>Jennifer Hill:</t>
        </r>
        <r>
          <rPr>
            <sz val="9"/>
            <color indexed="81"/>
            <rFont val="Tahoma"/>
            <family val="2"/>
          </rPr>
          <t xml:space="preserve">
Rate fluctuates dependig on disp location.</t>
        </r>
      </text>
    </comment>
    <comment ref="G226" authorId="1" shapeId="0" xr:uid="{6313F75C-B376-4766-BD38-65136218B564}">
      <text>
        <r>
          <rPr>
            <b/>
            <sz val="9"/>
            <color indexed="81"/>
            <rFont val="Tahoma"/>
            <family val="2"/>
          </rPr>
          <t>Jennifer Hill:</t>
        </r>
        <r>
          <rPr>
            <sz val="9"/>
            <color indexed="81"/>
            <rFont val="Tahoma"/>
            <family val="2"/>
          </rPr>
          <t xml:space="preserve">
Rate fluctuates dependig on disp location.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D1" authorId="0" shapeId="0" xr:uid="{00000000-0006-0000-1B00-000001000000}">
      <text>
        <r>
          <rPr>
            <b/>
            <sz val="8"/>
            <color indexed="81"/>
            <rFont val="Tahoma"/>
            <family val="2"/>
          </rPr>
          <t>WCNX:</t>
        </r>
        <r>
          <rPr>
            <sz val="8"/>
            <color indexed="81"/>
            <rFont val="Tahoma"/>
            <family val="2"/>
          </rPr>
          <t xml:space="preserve">
Includes bill area West Vancouver.  Billed at West Vancouver contract rates.</t>
        </r>
      </text>
    </comment>
  </commentList>
</comments>
</file>

<file path=xl/sharedStrings.xml><?xml version="1.0" encoding="utf-8"?>
<sst xmlns="http://schemas.openxmlformats.org/spreadsheetml/2006/main" count="3550" uniqueCount="1379">
  <si>
    <t>Service Code</t>
  </si>
  <si>
    <t>Service Code Description</t>
  </si>
  <si>
    <t>RESIDENTIAL SERVICES</t>
  </si>
  <si>
    <t>RESIDENTIAL GARBAGE</t>
  </si>
  <si>
    <t>TOTAL RESIDENTIAL GARBAGE</t>
  </si>
  <si>
    <t>RESIDENTIAL RECYCLING</t>
  </si>
  <si>
    <t>TOTAL RESIDENTIAL RECYCLING</t>
  </si>
  <si>
    <t>RESIDENTIAL YARD WASTE</t>
  </si>
  <si>
    <t>TOTAL RESIDENTIAL YARD WASTE</t>
  </si>
  <si>
    <t xml:space="preserve">COMMERCIAL SERVICES </t>
  </si>
  <si>
    <t>COMMERCIAL GARBAGE</t>
  </si>
  <si>
    <t>TOTAL COMMERCIAL GARBAGE</t>
  </si>
  <si>
    <t>COMMERCIAL RECYCLING</t>
  </si>
  <si>
    <t>DROP BOX SERVICES</t>
  </si>
  <si>
    <t>DROP BOX HAULS/RENTAL</t>
  </si>
  <si>
    <t>TOTAL DROP BOX HAULS/RENTAL</t>
  </si>
  <si>
    <t>PASSTHROUGH DISPOSAL</t>
  </si>
  <si>
    <t>TOTAL PASSTHROUGH DISPOSAL</t>
  </si>
  <si>
    <t>Service Charges</t>
  </si>
  <si>
    <t>FINCHG</t>
  </si>
  <si>
    <t>FINANCE CHARGE</t>
  </si>
  <si>
    <t>Revenue</t>
  </si>
  <si>
    <t>Tariff Rate</t>
  </si>
  <si>
    <t>TOTAL MULTI-FAMILY RECYCLING</t>
  </si>
  <si>
    <t>TOTAL SERVICE CHARGES</t>
  </si>
  <si>
    <t>TOTAL REVENUE</t>
  </si>
  <si>
    <t>Total</t>
  </si>
  <si>
    <t>Customers</t>
  </si>
  <si>
    <t>TOTAL COMMERCIAL RECYCLING</t>
  </si>
  <si>
    <t>Subtotal Service Charges</t>
  </si>
  <si>
    <t>Resi MSW</t>
  </si>
  <si>
    <t>YW</t>
  </si>
  <si>
    <t>Comm MSW</t>
  </si>
  <si>
    <t>MF MSW</t>
  </si>
  <si>
    <t>Roll Off</t>
  </si>
  <si>
    <t>Pass-Through</t>
  </si>
  <si>
    <t>TOTAL</t>
  </si>
  <si>
    <t>Revenue Summary - Year to Date</t>
  </si>
  <si>
    <t>PER GL</t>
  </si>
  <si>
    <t>Difference</t>
  </si>
  <si>
    <t>Commercial Recycling</t>
  </si>
  <si>
    <t>GRAND TOTAL</t>
  </si>
  <si>
    <t>DROP BOX RECYLING</t>
  </si>
  <si>
    <t>TOTAL DROP BOX RECYCLING</t>
  </si>
  <si>
    <t>Waste Connections of Washington, Inc.</t>
  </si>
  <si>
    <t>Waste Connections of WA, Inc.</t>
  </si>
  <si>
    <t>Clark County - Regulated</t>
  </si>
  <si>
    <t>CRMCEOW</t>
  </si>
  <si>
    <t>CRMC</t>
  </si>
  <si>
    <t>CREOW</t>
  </si>
  <si>
    <t>CR32MO</t>
  </si>
  <si>
    <t>CR32W1</t>
  </si>
  <si>
    <t>CR32W2</t>
  </si>
  <si>
    <t>CR32W3</t>
  </si>
  <si>
    <t>CR32W4</t>
  </si>
  <si>
    <t>CR32W5</t>
  </si>
  <si>
    <t>CR32W6</t>
  </si>
  <si>
    <t>CR32W7</t>
  </si>
  <si>
    <t>CR32W8</t>
  </si>
  <si>
    <t>RREXC</t>
  </si>
  <si>
    <t>RRCALL</t>
  </si>
  <si>
    <t>ROFOW</t>
  </si>
  <si>
    <t>CTYD6</t>
  </si>
  <si>
    <t>CTYD26</t>
  </si>
  <si>
    <t>CTYD51</t>
  </si>
  <si>
    <t>CTYD76</t>
  </si>
  <si>
    <t>CTYD101</t>
  </si>
  <si>
    <t>CTYD151</t>
  </si>
  <si>
    <t>CRDRVIN</t>
  </si>
  <si>
    <t>RSNP</t>
  </si>
  <si>
    <t>CRTIME1</t>
  </si>
  <si>
    <t>CRTIME2</t>
  </si>
  <si>
    <t>WBTIME</t>
  </si>
  <si>
    <t>TOTEPUR</t>
  </si>
  <si>
    <t>RRTRIP</t>
  </si>
  <si>
    <t>WBMISC</t>
  </si>
  <si>
    <t>WBCHAIR</t>
  </si>
  <si>
    <t>WBSOFA</t>
  </si>
  <si>
    <t>WBMATT</t>
  </si>
  <si>
    <t>20GAL CAN EOW</t>
  </si>
  <si>
    <t>20GAL CAN WEEKLY</t>
  </si>
  <si>
    <t>1 32GAL CAN EOW</t>
  </si>
  <si>
    <t>1 32GAL CAN ONCE A MTH</t>
  </si>
  <si>
    <t>1 32GAL CAN WEEKLY</t>
  </si>
  <si>
    <t>2-32GAL CANS WEEKLY</t>
  </si>
  <si>
    <t>3-32GAL CANS WEEKLY</t>
  </si>
  <si>
    <t>4-32GAL CANS WEEKLY</t>
  </si>
  <si>
    <t>5-32GAL CANS WEEKLY</t>
  </si>
  <si>
    <t>6-32GAL CANS WEEKLY</t>
  </si>
  <si>
    <t>7-32GAL CANS WEEKLY</t>
  </si>
  <si>
    <t>8-32GAL CANS WEEKLY</t>
  </si>
  <si>
    <t>EXTRA CANS, BAGS,BOXES</t>
  </si>
  <si>
    <t>ON CALL CAN</t>
  </si>
  <si>
    <t>OVERWGHT-OVERFILL CAN</t>
  </si>
  <si>
    <t>6-25 FT DIST CHARGE</t>
  </si>
  <si>
    <t>26-50 FT DIST CHARGE</t>
  </si>
  <si>
    <t>51-75 FT DIST CHARGE</t>
  </si>
  <si>
    <t>76-100 FT DIST CHARGE</t>
  </si>
  <si>
    <t>101-125 FT DIST CHARGE</t>
  </si>
  <si>
    <t>151-175 FT DIST CHARGE</t>
  </si>
  <si>
    <t>DRIVE IN CHG -RESIDENTIAL</t>
  </si>
  <si>
    <t>NON-PAY STOP RESTART FEE</t>
  </si>
  <si>
    <t>TIME CHARGE - 1 MAN</t>
  </si>
  <si>
    <t>TIME CHARGE - 2 MAN</t>
  </si>
  <si>
    <t>TIME CHG/MIN-BULKY ITEMS</t>
  </si>
  <si>
    <t>TOTER/CONT/DB PURCHASE</t>
  </si>
  <si>
    <t>TRIP CHARGE - CART/CAN</t>
  </si>
  <si>
    <t>BULKY ITEM CHARGE-MISC</t>
  </si>
  <si>
    <t>CHAIR</t>
  </si>
  <si>
    <t>SOFA/LOVESEAT</t>
  </si>
  <si>
    <t>MATTRESS/BOXSPRING</t>
  </si>
  <si>
    <t>TOTAL RESIDENTIAL SERVICES</t>
  </si>
  <si>
    <t>CC1Y1W</t>
  </si>
  <si>
    <t>CC1Y2W</t>
  </si>
  <si>
    <t>CC1YEOW</t>
  </si>
  <si>
    <t>CC15Y1W</t>
  </si>
  <si>
    <t>CC15Y2W</t>
  </si>
  <si>
    <t>CC15YEOW</t>
  </si>
  <si>
    <t>CC2Y1W</t>
  </si>
  <si>
    <t>CC2Y2W</t>
  </si>
  <si>
    <t>CC2Y3W</t>
  </si>
  <si>
    <t>CC2Y4W</t>
  </si>
  <si>
    <t>CC2YEOW</t>
  </si>
  <si>
    <t>CC3Y1W</t>
  </si>
  <si>
    <t>CC3Y2W</t>
  </si>
  <si>
    <t>CC3Y3W</t>
  </si>
  <si>
    <t>CC3Y4W</t>
  </si>
  <si>
    <t>CC3Y6W</t>
  </si>
  <si>
    <t>CC3YEOW</t>
  </si>
  <si>
    <t>CC4Y1W</t>
  </si>
  <si>
    <t>CC4Y2W</t>
  </si>
  <si>
    <t>CC4Y3W</t>
  </si>
  <si>
    <t>CC4Y4W</t>
  </si>
  <si>
    <t>CC4Y5W</t>
  </si>
  <si>
    <t>CC4Y6W</t>
  </si>
  <si>
    <t>CC4YEOW</t>
  </si>
  <si>
    <t>CC5Y1W</t>
  </si>
  <si>
    <t>CC5YEOW</t>
  </si>
  <si>
    <t>CC6Y1W</t>
  </si>
  <si>
    <t>CC6Y2W</t>
  </si>
  <si>
    <t>CC6Y3W</t>
  </si>
  <si>
    <t>CC6Y4W</t>
  </si>
  <si>
    <t>CC6YEOW</t>
  </si>
  <si>
    <t>CC8Y1W</t>
  </si>
  <si>
    <t>CC8Y2W</t>
  </si>
  <si>
    <t>CC8Y3W</t>
  </si>
  <si>
    <t>CC8Y4W</t>
  </si>
  <si>
    <t>CC8YEOW</t>
  </si>
  <si>
    <t>CCCMP2Y</t>
  </si>
  <si>
    <t>CCCMP4Y</t>
  </si>
  <si>
    <t>CCSP1Y</t>
  </si>
  <si>
    <t>CCSP15Y</t>
  </si>
  <si>
    <t>CCSP2Y</t>
  </si>
  <si>
    <t>CCSP3Y</t>
  </si>
  <si>
    <t>VCSP4YC</t>
  </si>
  <si>
    <t>CCSP4Y</t>
  </si>
  <si>
    <t>CCSP6Y</t>
  </si>
  <si>
    <t>CCSP8Y</t>
  </si>
  <si>
    <t>CCTP1Y</t>
  </si>
  <si>
    <t>CCTP15Y</t>
  </si>
  <si>
    <t>CCTP2Y</t>
  </si>
  <si>
    <t>CCTP3Y</t>
  </si>
  <si>
    <t>CCTP4Y</t>
  </si>
  <si>
    <t>CCTP6Y</t>
  </si>
  <si>
    <t>CCTP8Y</t>
  </si>
  <si>
    <t>CC32W1</t>
  </si>
  <si>
    <t>CC32W2</t>
  </si>
  <si>
    <t>CC32W3</t>
  </si>
  <si>
    <t>CC32W4</t>
  </si>
  <si>
    <t>CC32W5</t>
  </si>
  <si>
    <t>CC32W6</t>
  </si>
  <si>
    <t>CC32W7</t>
  </si>
  <si>
    <t>CC32W8</t>
  </si>
  <si>
    <t>CC32W9</t>
  </si>
  <si>
    <t>CCEXCAN</t>
  </si>
  <si>
    <t>CCEXYD</t>
  </si>
  <si>
    <t>RCOF</t>
  </si>
  <si>
    <t>CCDISC</t>
  </si>
  <si>
    <t>CCPLACE</t>
  </si>
  <si>
    <t>XPLACE</t>
  </si>
  <si>
    <t>CC1YPR</t>
  </si>
  <si>
    <t>CC15YPR</t>
  </si>
  <si>
    <t>CC2YPR</t>
  </si>
  <si>
    <t>CC3YPR</t>
  </si>
  <si>
    <t>CC4YPR</t>
  </si>
  <si>
    <t>CC5YPR</t>
  </si>
  <si>
    <t>CC6YPR</t>
  </si>
  <si>
    <t>CC8YPR</t>
  </si>
  <si>
    <t>CC15YOC</t>
  </si>
  <si>
    <t>CC2YOC</t>
  </si>
  <si>
    <t>CC3YOC</t>
  </si>
  <si>
    <t>CC1YTR</t>
  </si>
  <si>
    <t>CC15YTR</t>
  </si>
  <si>
    <t>CC2YTR</t>
  </si>
  <si>
    <t>CC3YTR</t>
  </si>
  <si>
    <t>CC4YTR</t>
  </si>
  <si>
    <t>CC6YTR</t>
  </si>
  <si>
    <t>CTIME1M</t>
  </si>
  <si>
    <t>CTIME2M</t>
  </si>
  <si>
    <t>CCTRIP</t>
  </si>
  <si>
    <t>CRTRIP</t>
  </si>
  <si>
    <t>CACCESS</t>
  </si>
  <si>
    <t>CACCESSEOW</t>
  </si>
  <si>
    <t>CWSAN 1-5</t>
  </si>
  <si>
    <t>CWSAN6</t>
  </si>
  <si>
    <t>CCDRVIN</t>
  </si>
  <si>
    <t>CROLLOUTEOW</t>
  </si>
  <si>
    <t>CROLLOUT</t>
  </si>
  <si>
    <t>ADJ</t>
  </si>
  <si>
    <t>GWC</t>
  </si>
  <si>
    <t>1YD CONT 1X WEEKLY</t>
  </si>
  <si>
    <t>1YD CONT 2X WEEKLY</t>
  </si>
  <si>
    <t>1YD CONTAINER EOW</t>
  </si>
  <si>
    <t>1.5YD CONT 1X WEEKLY</t>
  </si>
  <si>
    <t>1.5YD CONT 2X WEEKLY</t>
  </si>
  <si>
    <t>1.5YD CONTAINER EOW</t>
  </si>
  <si>
    <t>2YD CONT 1X WEEKLY</t>
  </si>
  <si>
    <t>2YD CONT 2X WEEKLY</t>
  </si>
  <si>
    <t>2YD CONT 3X WEEKLY</t>
  </si>
  <si>
    <t>2YD CONT 4X WEEKLY</t>
  </si>
  <si>
    <t>2YD CONT 6X WEEKLY</t>
  </si>
  <si>
    <t>2YD CONTAINER EOW</t>
  </si>
  <si>
    <t>3YD CONT 1X WEEKLY</t>
  </si>
  <si>
    <t>3YD CONT 2X WEEKLY</t>
  </si>
  <si>
    <t>3YD CONT 3X WEEKLY</t>
  </si>
  <si>
    <t>3YD CONT 4X WEEKLY</t>
  </si>
  <si>
    <t>3YD CONT 5X WEEKLY</t>
  </si>
  <si>
    <t>3YD CONT 6X WEEKLY</t>
  </si>
  <si>
    <t>3YD CONTAINER EOW</t>
  </si>
  <si>
    <t>4YD CONT 1X WEEKLY</t>
  </si>
  <si>
    <t>4YD CONT 2X WEEKLY</t>
  </si>
  <si>
    <t>4YD CONT 3X WEEKLY</t>
  </si>
  <si>
    <t>4YD CONT 4X WEEKLY</t>
  </si>
  <si>
    <t>4YD CONT 5X WEEKLY</t>
  </si>
  <si>
    <t>4YD CONT 6X WEEKLY</t>
  </si>
  <si>
    <t>4YD CONTAINER EOW</t>
  </si>
  <si>
    <t>5YD CONT 1X WEEKLY</t>
  </si>
  <si>
    <t>5YD CONTAINER EOW</t>
  </si>
  <si>
    <t>6YD CONT 1X WEEKLY</t>
  </si>
  <si>
    <t>6YD CONT 2X WEEKLY</t>
  </si>
  <si>
    <t>6YD CONT 3X WEEKLY</t>
  </si>
  <si>
    <t>6YD CONT 4X WEEKLY</t>
  </si>
  <si>
    <t>6YD CONT 5X WEEKLY</t>
  </si>
  <si>
    <t>6YD CONTAINER EOW</t>
  </si>
  <si>
    <t>8YD CONT 1X WEEKLY</t>
  </si>
  <si>
    <t>8YD CONT 2X WEEKLY</t>
  </si>
  <si>
    <t>8YD CONT 3X WEEKLY</t>
  </si>
  <si>
    <t>8YD CONT 4X WEEKLY</t>
  </si>
  <si>
    <t>8YD CONT 5X WEEKLY</t>
  </si>
  <si>
    <t>8YD CONTAINER EOW</t>
  </si>
  <si>
    <t>2YD COMP CONT 1X WKLY</t>
  </si>
  <si>
    <t>3YD COMP CONT 1X WKLY</t>
  </si>
  <si>
    <t>4YD COMP CONT 1X WKLY</t>
  </si>
  <si>
    <t>SPECIAL PICKUP 1YD CONT</t>
  </si>
  <si>
    <t>SPECIAL PICKUP 1.5YD CONT</t>
  </si>
  <si>
    <t>SPECIAL PICKUP 2YD CONT</t>
  </si>
  <si>
    <t>SPECIAL PICKUP 3YD CONT</t>
  </si>
  <si>
    <t>SPECIAL PICKUP 4YD COMP</t>
  </si>
  <si>
    <t>SPECIAL PICKUP 4YD CONT</t>
  </si>
  <si>
    <t>SPECIAL PICKUP 6YD CONT</t>
  </si>
  <si>
    <t>SPECIAL PICKUP 8YD CONT</t>
  </si>
  <si>
    <t>TEMP PICKUP 1YD CONT</t>
  </si>
  <si>
    <t>TEMP PICKUP 1.5YD CONT</t>
  </si>
  <si>
    <t>TEMP PICKUP 2YD CONT</t>
  </si>
  <si>
    <t>TEMP PICKUP 3YD CONT</t>
  </si>
  <si>
    <t>TEMP PICKUP 4YD CONT</t>
  </si>
  <si>
    <t>TEMP PICKUP 6YD CONT</t>
  </si>
  <si>
    <t>TEMP PICKUP 8YD CONT</t>
  </si>
  <si>
    <t>32GAL CAN WEEKLY-COM</t>
  </si>
  <si>
    <t>9-32GAL CANS WEEKLY</t>
  </si>
  <si>
    <t>EXTRA = CANS - COM</t>
  </si>
  <si>
    <t>EXTRA = YARDS</t>
  </si>
  <si>
    <t>OVERFILLED CONTAINER</t>
  </si>
  <si>
    <t>COMPACTOR CONT DISCONNECT</t>
  </si>
  <si>
    <t>CONTAINER DELIVERY FEE</t>
  </si>
  <si>
    <t>PT 1-8YD CONT DELIVERY</t>
  </si>
  <si>
    <t>PERM CONT RENT 1YD</t>
  </si>
  <si>
    <t>PERM CONT RENT 1.5YD</t>
  </si>
  <si>
    <t>PERM CONT RENT 2YD</t>
  </si>
  <si>
    <t>PERM CONT RENT 3YD</t>
  </si>
  <si>
    <t>PERM CONT RENT 4YD</t>
  </si>
  <si>
    <t>PERM CONT RENT 5YD</t>
  </si>
  <si>
    <t>PERM CONT RENT 6YD</t>
  </si>
  <si>
    <t>PERM CONT RENT 8YD</t>
  </si>
  <si>
    <t>1.5YD CONT ON CALL RENT</t>
  </si>
  <si>
    <t>2YD CONT ON CALL RENT</t>
  </si>
  <si>
    <t>3YD CONT ON CALL RENTAL</t>
  </si>
  <si>
    <t>TEMP CONT RENT 1YD</t>
  </si>
  <si>
    <t>TEMP CONT RENT 1.5YD</t>
  </si>
  <si>
    <t>TEMP CONT RENT 2YD</t>
  </si>
  <si>
    <t>TEMP CONT RENT 3YD</t>
  </si>
  <si>
    <t>TEMP CONT RENT 4YD</t>
  </si>
  <si>
    <t>TEMP CONT RENT 6YD</t>
  </si>
  <si>
    <t>TRIP CHARGE - CONTAINER</t>
  </si>
  <si>
    <t>ACCESS CHARGE - PER MTH</t>
  </si>
  <si>
    <t>EOW MONTHLY ACCESS CHARGE</t>
  </si>
  <si>
    <t>WASH &amp; SANITIZE CONT 1-5</t>
  </si>
  <si>
    <t>WASH &amp; SANITIZE CONT 6YD</t>
  </si>
  <si>
    <t>DRIVE IN CHARGE - PER MTH</t>
  </si>
  <si>
    <t>EOW CONT ROLLOUT CHARGE</t>
  </si>
  <si>
    <t>ROLLOUT CHARGE - PER MTH</t>
  </si>
  <si>
    <t>ADJUST BALANCE</t>
  </si>
  <si>
    <t>GOODWILL CREDIT</t>
  </si>
  <si>
    <t>TOTAL COMMERCIAL SERVICES</t>
  </si>
  <si>
    <t>CER15YD</t>
  </si>
  <si>
    <t>CER20YD</t>
  </si>
  <si>
    <t>CER30YD</t>
  </si>
  <si>
    <t>CER40YD</t>
  </si>
  <si>
    <t>VHAUL20</t>
  </si>
  <si>
    <t>VHAUL30</t>
  </si>
  <si>
    <t>VHAUL40</t>
  </si>
  <si>
    <t>CRV20YD</t>
  </si>
  <si>
    <t>CRV30YD</t>
  </si>
  <si>
    <t>CRV40YD</t>
  </si>
  <si>
    <t>CTER15YD</t>
  </si>
  <si>
    <t>CTER20YD</t>
  </si>
  <si>
    <t>CTER30YD</t>
  </si>
  <si>
    <t>CTER40YD</t>
  </si>
  <si>
    <t>CTRV15YD</t>
  </si>
  <si>
    <t>CTRV20YD</t>
  </si>
  <si>
    <t>CTRV30YD</t>
  </si>
  <si>
    <t>CTRV40YD</t>
  </si>
  <si>
    <t>CCOMP15</t>
  </si>
  <si>
    <t>CCOMP20</t>
  </si>
  <si>
    <t>CCOMP25</t>
  </si>
  <si>
    <t>CCOMP30</t>
  </si>
  <si>
    <t>CCOMP40</t>
  </si>
  <si>
    <t>VHAUL20C</t>
  </si>
  <si>
    <t>CDEM15</t>
  </si>
  <si>
    <t>CDEM20</t>
  </si>
  <si>
    <t>CDEM30</t>
  </si>
  <si>
    <t>CDEM40</t>
  </si>
  <si>
    <t>CTDEM15</t>
  </si>
  <si>
    <t>CTDEM20</t>
  </si>
  <si>
    <t>CTDEM30</t>
  </si>
  <si>
    <t>CTDEM40</t>
  </si>
  <si>
    <t>SPDISCO</t>
  </si>
  <si>
    <t>CPLACE</t>
  </si>
  <si>
    <t>CLIDCHG</t>
  </si>
  <si>
    <t>CTLIDCHG</t>
  </si>
  <si>
    <t>MILE</t>
  </si>
  <si>
    <t>TARP</t>
  </si>
  <si>
    <t>VDTIME</t>
  </si>
  <si>
    <t>WAMISC</t>
  </si>
  <si>
    <t>DBTRIP</t>
  </si>
  <si>
    <t>DWSAN20</t>
  </si>
  <si>
    <t>DWSAN30</t>
  </si>
  <si>
    <t>DWSAN40</t>
  </si>
  <si>
    <t>EMPTY &amp; RETURN 15YD</t>
  </si>
  <si>
    <t>EMPTY &amp; RETURN 20YD</t>
  </si>
  <si>
    <t>EMPTY &amp; RETURN 30YD</t>
  </si>
  <si>
    <t>EMPTY &amp; RETURN 40YD</t>
  </si>
  <si>
    <t>HAUL FEE 20YD DROPBOX</t>
  </si>
  <si>
    <t>HAUL FEE 30YD DROPBOX</t>
  </si>
  <si>
    <t>HAUL FEE 40YD DROPBOX</t>
  </si>
  <si>
    <t>REMOVE 15YD</t>
  </si>
  <si>
    <t>REMOVE 20YD</t>
  </si>
  <si>
    <t>REMOVE 30YD</t>
  </si>
  <si>
    <t>REMOVE 40YD</t>
  </si>
  <si>
    <t>EMPTY &amp; RETURN TEMP 15YD</t>
  </si>
  <si>
    <t>EMPTY &amp; RETURN TEMP 20YD</t>
  </si>
  <si>
    <t>EMPTY &amp; RETURN TEMP 30YD</t>
  </si>
  <si>
    <t>EMPTY &amp; RETURN TEMP 40YD</t>
  </si>
  <si>
    <t>REMOVE TEMP 15YD</t>
  </si>
  <si>
    <t>REMOVE TEMP 20YD</t>
  </si>
  <si>
    <t>REMOVE TEMP 30YD</t>
  </si>
  <si>
    <t>REMOVE TEMP 40YD</t>
  </si>
  <si>
    <t>EMPTY 15YD COMPACTOR</t>
  </si>
  <si>
    <t>EMPTY 20YD COMPACTOR</t>
  </si>
  <si>
    <t>EMPTY 25YD COMPACTOR</t>
  </si>
  <si>
    <t>EMPTY 30YD COMPACTOR</t>
  </si>
  <si>
    <t>EMPTY 40YD COMPACTOR</t>
  </si>
  <si>
    <t>COMPACTOR HAUL 20YD</t>
  </si>
  <si>
    <t>15YD DROPBOX RENTAL</t>
  </si>
  <si>
    <t>20YD DROPBOX RENTAL</t>
  </si>
  <si>
    <t>30YD DROPBOX RENTAL</t>
  </si>
  <si>
    <t>40YD DROPBOX RENTAL</t>
  </si>
  <si>
    <t>15YD TEMP DROPBOX RENT</t>
  </si>
  <si>
    <t>20YD TEMP DROPBOX RENT</t>
  </si>
  <si>
    <t>30YD TEMP DROPBOX RENT</t>
  </si>
  <si>
    <t>40YD TEMP DROPBOX RENT</t>
  </si>
  <si>
    <t>COMPACTOR DISCONNECT FEE</t>
  </si>
  <si>
    <t>DROPBOX DELIVERY FEE</t>
  </si>
  <si>
    <t>LID CHARGE - DROPBOX</t>
  </si>
  <si>
    <t>TEMP DROPBOX-LID CHARGE</t>
  </si>
  <si>
    <t>MILEAGE CHARGE-BEYOND 10</t>
  </si>
  <si>
    <t>TARP FEE</t>
  </si>
  <si>
    <t>TIME CHARGE - DROPBOX</t>
  </si>
  <si>
    <t>ROLL-OFF HOURLY RATE</t>
  </si>
  <si>
    <t>TRIP CHARGE - ROLLOFF</t>
  </si>
  <si>
    <t>WASH &amp; SANITIZE DB 20YD</t>
  </si>
  <si>
    <t>WASH &amp; SANITIZE DB 30YD</t>
  </si>
  <si>
    <t>WASH &amp; SANITIZE DB 40YD</t>
  </si>
  <si>
    <t>TOTAL DROP BOX SERVICES</t>
  </si>
  <si>
    <t>DISP</t>
  </si>
  <si>
    <t>FEE</t>
  </si>
  <si>
    <t>WBDRYER</t>
  </si>
  <si>
    <t>WBREFRIGE</t>
  </si>
  <si>
    <t>WTTIRE</t>
  </si>
  <si>
    <t>WTTIRE/RIM</t>
  </si>
  <si>
    <t>WCTIRE/RIM</t>
  </si>
  <si>
    <t>WCTIRE</t>
  </si>
  <si>
    <t>WBWASHER</t>
  </si>
  <si>
    <t>WBWTRHTR</t>
  </si>
  <si>
    <t>DISPOSAL CHARGE</t>
  </si>
  <si>
    <t>TRANSACTION FEE</t>
  </si>
  <si>
    <t>CLOTHES DRYER</t>
  </si>
  <si>
    <t>REFRIGERATOR, FREEZER</t>
  </si>
  <si>
    <t>TIRE(S) - LARGE</t>
  </si>
  <si>
    <t>TIRE(S) &amp; RIM(S) - LARGE</t>
  </si>
  <si>
    <t>TIRE(S) &amp; RIM(S)-SMALL</t>
  </si>
  <si>
    <t>TIRE(S) -SMALL</t>
  </si>
  <si>
    <t>WASHING MACHINE</t>
  </si>
  <si>
    <t>WATER HEATER</t>
  </si>
  <si>
    <t>Clark County - Regulated Area Contract Rev</t>
  </si>
  <si>
    <t>CRRECHEL</t>
  </si>
  <si>
    <t>CRREC35</t>
  </si>
  <si>
    <t>CRREC48</t>
  </si>
  <si>
    <t>CRREC65</t>
  </si>
  <si>
    <t>CRREC95</t>
  </si>
  <si>
    <t>RUREC</t>
  </si>
  <si>
    <t>RGREC</t>
  </si>
  <si>
    <t>RUREC125</t>
  </si>
  <si>
    <t>RURECDRVIN</t>
  </si>
  <si>
    <t>CURBSIDE RECY-HELICO</t>
  </si>
  <si>
    <t>RES RECY 35G CART-COUNTY</t>
  </si>
  <si>
    <t>RES RECY 48G CART-COUNTY</t>
  </si>
  <si>
    <t>RES RECY 65G CART-COUNTY</t>
  </si>
  <si>
    <t>RES RECY 95G CART-COUNTY</t>
  </si>
  <si>
    <t>RURAL RECY ONLY CHARGE</t>
  </si>
  <si>
    <t>RURAL RECY WITH GARBAGE</t>
  </si>
  <si>
    <t>RURAL RECY DIST OVER 125'</t>
  </si>
  <si>
    <t>RURAL RECY DRIVEIN CHARGE</t>
  </si>
  <si>
    <t>MULTI-FAMILY RECYCLING</t>
  </si>
  <si>
    <t>CMFREC</t>
  </si>
  <si>
    <t>MULTI-FAMILY RECYCLE</t>
  </si>
  <si>
    <t>LYDBM</t>
  </si>
  <si>
    <t>CYDBM64</t>
  </si>
  <si>
    <t>CYDBM96</t>
  </si>
  <si>
    <t>YDX</t>
  </si>
  <si>
    <t>YDRENT64</t>
  </si>
  <si>
    <t>YDRENT96</t>
  </si>
  <si>
    <t>YDRENT</t>
  </si>
  <si>
    <t>YDPLACE</t>
  </si>
  <si>
    <t>YDOC</t>
  </si>
  <si>
    <t>YDRESTART</t>
  </si>
  <si>
    <t>YARD DEBRIS SERV-BIMTHLY</t>
  </si>
  <si>
    <t>YARD DEBRIS SVC-64BIMTHLY</t>
  </si>
  <si>
    <t>YARD DEBRIS SVC-96BIMTHLY</t>
  </si>
  <si>
    <t>EXTRA YARD DEBRIS</t>
  </si>
  <si>
    <t>64GAL YARD CART RENTAL</t>
  </si>
  <si>
    <t>96GAL YARD CART RENTAL</t>
  </si>
  <si>
    <t>YARD CART ON CALL RENT</t>
  </si>
  <si>
    <t>YARD CART DELIVERY FEE</t>
  </si>
  <si>
    <t>YARD DEBRIS ON CALL P/U</t>
  </si>
  <si>
    <t>YARD DEBRIS RESTART FEE</t>
  </si>
  <si>
    <t>CRY1.5Y1X</t>
  </si>
  <si>
    <t>CRY1Y1X</t>
  </si>
  <si>
    <t>CRY1YEOW</t>
  </si>
  <si>
    <t>CRY2-1Y1X</t>
  </si>
  <si>
    <t>CRY2Y1MO</t>
  </si>
  <si>
    <t>CRY2Y1X</t>
  </si>
  <si>
    <t>CRY2Y2X</t>
  </si>
  <si>
    <t>CRY2YEOW</t>
  </si>
  <si>
    <t>CRY3Y1MO</t>
  </si>
  <si>
    <t>CRY3Y1X</t>
  </si>
  <si>
    <t>CRY3Y2X</t>
  </si>
  <si>
    <t>CRY3Y3X</t>
  </si>
  <si>
    <t>CRY3Y5X</t>
  </si>
  <si>
    <t>CRY3YEOW</t>
  </si>
  <si>
    <t>CRY4Y1X</t>
  </si>
  <si>
    <t>CRY4Y2X</t>
  </si>
  <si>
    <t>CRY4Y3X</t>
  </si>
  <si>
    <t>CRY4YEOW</t>
  </si>
  <si>
    <t>CRY2-4Y1X</t>
  </si>
  <si>
    <t>CRY2-4Y2X</t>
  </si>
  <si>
    <t>CRY5Y1X</t>
  </si>
  <si>
    <t>CRY5Y2X</t>
  </si>
  <si>
    <t>CRY5Y3X</t>
  </si>
  <si>
    <t>CRY6Y1X</t>
  </si>
  <si>
    <t>CRY6Y2X</t>
  </si>
  <si>
    <t>CRY6Y3X</t>
  </si>
  <si>
    <t>CRY6YEOW</t>
  </si>
  <si>
    <t>CRY8Y1X</t>
  </si>
  <si>
    <t>CRY8Y2X</t>
  </si>
  <si>
    <t>CRY8Y3X</t>
  </si>
  <si>
    <t>CRY8Y4X</t>
  </si>
  <si>
    <t>CFR32G1X</t>
  </si>
  <si>
    <t>CFR65G1X</t>
  </si>
  <si>
    <t>CFR65G2X</t>
  </si>
  <si>
    <t>CRY901X</t>
  </si>
  <si>
    <t>CRY902X</t>
  </si>
  <si>
    <t>CRY90EOW</t>
  </si>
  <si>
    <t>CRY901X3</t>
  </si>
  <si>
    <t>CRY901X2</t>
  </si>
  <si>
    <t>CRY90EOW2</t>
  </si>
  <si>
    <t>CRY90EOW3</t>
  </si>
  <si>
    <t>CRYGLASS1X</t>
  </si>
  <si>
    <t>MFPAIL</t>
  </si>
  <si>
    <t>0CRYEX1.5YD</t>
  </si>
  <si>
    <t>0CRYEX90</t>
  </si>
  <si>
    <t>0CRYEX1YD</t>
  </si>
  <si>
    <t>0CRYEX2YD</t>
  </si>
  <si>
    <t>0CRYEX3YD</t>
  </si>
  <si>
    <t>0CRYEX4YD</t>
  </si>
  <si>
    <t>0CRYEX5YD</t>
  </si>
  <si>
    <t>0CRYEX6YD</t>
  </si>
  <si>
    <t>CRY1YOC</t>
  </si>
  <si>
    <t>CRY1.5OC</t>
  </si>
  <si>
    <t>CRY2YOC</t>
  </si>
  <si>
    <t>CRY3YOC</t>
  </si>
  <si>
    <t>CRY4YOC</t>
  </si>
  <si>
    <t>CRY6YOC</t>
  </si>
  <si>
    <t>CRY3YRENT</t>
  </si>
  <si>
    <t>CRY4YRENT</t>
  </si>
  <si>
    <t>CRY5YRENT</t>
  </si>
  <si>
    <t>0CRY90OC</t>
  </si>
  <si>
    <t>CRY90OC</t>
  </si>
  <si>
    <t>CRY90OC2</t>
  </si>
  <si>
    <t>CRYEXC</t>
  </si>
  <si>
    <t>0CRYEXC</t>
  </si>
  <si>
    <t>CRYACC</t>
  </si>
  <si>
    <t>CRPLACE</t>
  </si>
  <si>
    <t>CRYPLACE</t>
  </si>
  <si>
    <t>CRYRO</t>
  </si>
  <si>
    <t>COMREC</t>
  </si>
  <si>
    <t>CRYEX1.5YD</t>
  </si>
  <si>
    <t>CRYEX90</t>
  </si>
  <si>
    <t>CRYEX903</t>
  </si>
  <si>
    <t>CRYEX1YD</t>
  </si>
  <si>
    <t>CRYEX2YD</t>
  </si>
  <si>
    <t>CRYEX3YD</t>
  </si>
  <si>
    <t>CRYEX4YD</t>
  </si>
  <si>
    <t>CRYEX5YD</t>
  </si>
  <si>
    <t>CRYEX6YD</t>
  </si>
  <si>
    <t>CRYEX8YD</t>
  </si>
  <si>
    <t>CRYTRIP</t>
  </si>
  <si>
    <t>WCCLEAN</t>
  </si>
  <si>
    <t>1.5YD RECYCLE 1X WKLY</t>
  </si>
  <si>
    <t>1.5YD RECYCLE EOW</t>
  </si>
  <si>
    <t>1YD RECYCLE 1X WKLY</t>
  </si>
  <si>
    <t>1YD RECYCLE EOW</t>
  </si>
  <si>
    <t>2-1YD RECYCLE 1X WKLY</t>
  </si>
  <si>
    <t>2YD RECYCLE 1X MTHLY</t>
  </si>
  <si>
    <t>2YD RECYCLE 1X WKLY</t>
  </si>
  <si>
    <t>2YD RECYCLE 2X WKLY</t>
  </si>
  <si>
    <t>2YD RECYCLE EOW</t>
  </si>
  <si>
    <t>3YD RECYCLE 1X MTHLY</t>
  </si>
  <si>
    <t>3YD RECYCLE 1X WKLY</t>
  </si>
  <si>
    <t>3YD RECYCLE 2X WKLY</t>
  </si>
  <si>
    <t>3YD RECYCLE 3X WKLY</t>
  </si>
  <si>
    <t>3YD RECYCLE 5X WKLY</t>
  </si>
  <si>
    <t>3YD RECYCLE EOW</t>
  </si>
  <si>
    <t>4YD RECYCLE 1X WKLY</t>
  </si>
  <si>
    <t>4YD RECYCLE 2X WKLY</t>
  </si>
  <si>
    <t>4YD RECYCLE 3X WKLY</t>
  </si>
  <si>
    <t>4YD RECYCLE EOW</t>
  </si>
  <si>
    <t>2-4YD RECYCLE 1X WKLY</t>
  </si>
  <si>
    <t>2-4YD RECYCLE 2X WKLY</t>
  </si>
  <si>
    <t>5YD RECYCLE 1X WKLY</t>
  </si>
  <si>
    <t>5YD RECYCLE 2X WKLY</t>
  </si>
  <si>
    <t>5YD RECYCLE 3X WKLY</t>
  </si>
  <si>
    <t>6YD RECYCLE 1X WKLY</t>
  </si>
  <si>
    <t>6YD RECYCLE 2X WKLY</t>
  </si>
  <si>
    <t>6YD RECYCLE 3X WKLY</t>
  </si>
  <si>
    <t>6YD RECYCLE EOW</t>
  </si>
  <si>
    <t>8YD RECYCLE 1X WKLY</t>
  </si>
  <si>
    <t>8YD RECYCLE 2X WKLY</t>
  </si>
  <si>
    <t>8YD RECYCLE 3X WKLY</t>
  </si>
  <si>
    <t>8YD RECYCLE 4X WKLY</t>
  </si>
  <si>
    <t>32G FOOD COMPOST 1X WKLY</t>
  </si>
  <si>
    <t>65G FOOD COMPOST 1X WKLY</t>
  </si>
  <si>
    <t>65G FOOD COMPOST 2X WKLY</t>
  </si>
  <si>
    <t>90GAL RECYCLE 1X WKLY</t>
  </si>
  <si>
    <t>90GAL RECYCLE 2X WKLY</t>
  </si>
  <si>
    <t>90GAL RECYCLE EOW</t>
  </si>
  <si>
    <t>3-90GAL RECYCLE 1X WKLY</t>
  </si>
  <si>
    <t>2-90GAL RECYCLE 1X WKLY</t>
  </si>
  <si>
    <t>2-90GAL RECYCLE EOW</t>
  </si>
  <si>
    <t>3-90GAL RECYCLE EOW</t>
  </si>
  <si>
    <t>96G GLASS CART 1X WKLY</t>
  </si>
  <si>
    <t>ON-CALL P/U 1.5YD RECYCLE</t>
  </si>
  <si>
    <t>ON-CALL P/U 1-90GAL RECY</t>
  </si>
  <si>
    <t>ON-CALL P/U 1YD RECYCLE</t>
  </si>
  <si>
    <t>ON-CALL P/U 2YD RECYCLE</t>
  </si>
  <si>
    <t>ON-CALL P/U 3YD RECYCLE</t>
  </si>
  <si>
    <t>ON-CALL P/U 4YD RECYCLE</t>
  </si>
  <si>
    <t>ON-CALL P/U 5YD RECYCLE</t>
  </si>
  <si>
    <t>ON-CALL P/U 6YD RECYCLE</t>
  </si>
  <si>
    <t>1YD RECYCLE ON CALL RENT</t>
  </si>
  <si>
    <t>1.5YD RECY ON CALL RENT</t>
  </si>
  <si>
    <t>2YD RECYCLE ON CALL RENT</t>
  </si>
  <si>
    <t>3YD RECY ON CALL RENTAL</t>
  </si>
  <si>
    <t>4YD RECY ON CALL RENTAL</t>
  </si>
  <si>
    <t>6YD RECY ON CALL RENTAL</t>
  </si>
  <si>
    <t>3YD RECYCLE RENTAL</t>
  </si>
  <si>
    <t>4YD RECYCLE RENTAL</t>
  </si>
  <si>
    <t>5YD RECYCLE RENTAL</t>
  </si>
  <si>
    <t>90GAL RECY ON CALL RENTAL</t>
  </si>
  <si>
    <t>2-90GAL RECY ON CALL RENT</t>
  </si>
  <si>
    <t>REC EXTRA YARDS</t>
  </si>
  <si>
    <t>RECY ACCESS CHARGE</t>
  </si>
  <si>
    <t>RECY CART DELIVERY FEE</t>
  </si>
  <si>
    <t>RECY CONT DELIVERY FEE</t>
  </si>
  <si>
    <t>RECY CONT ROLLOUT CHARGE</t>
  </si>
  <si>
    <t>SCHOOL RECYCLE SERVICE</t>
  </si>
  <si>
    <t>SPECIAL PU 1.5YD RECYCLE</t>
  </si>
  <si>
    <t>SPECIAL PU 1-90GAL RECY</t>
  </si>
  <si>
    <t>SPECIAL PU 3-90GAL RECY</t>
  </si>
  <si>
    <t>SPECIAL PU 1YD RECYCLE</t>
  </si>
  <si>
    <t>SPECIAL PU 2YD RECYCLE</t>
  </si>
  <si>
    <t>SPECIAL PU 3YD RECYCLE</t>
  </si>
  <si>
    <t>SPECIAL PU 4YD RECYCLE</t>
  </si>
  <si>
    <t>SPECIAL PU 5YD RECYCLE</t>
  </si>
  <si>
    <t>SPECIAL PU 6YD RECYCLE</t>
  </si>
  <si>
    <t>SPECIAL PU 8YD RECYCLE</t>
  </si>
  <si>
    <t>TRIP CHARGE - RECYCLING</t>
  </si>
  <si>
    <t>WASH &amp; SANITIZE FW CART</t>
  </si>
  <si>
    <t>DRHAUL15</t>
  </si>
  <si>
    <t>DRHAUL20</t>
  </si>
  <si>
    <t>DRHAUL30</t>
  </si>
  <si>
    <t>DRHAUL40</t>
  </si>
  <si>
    <t>DRDEM15</t>
  </si>
  <si>
    <t>DRDEM20</t>
  </si>
  <si>
    <t>DRDEM30</t>
  </si>
  <si>
    <t>DRDEM40</t>
  </si>
  <si>
    <t>HAULWD/YD</t>
  </si>
  <si>
    <t>DRPLACE</t>
  </si>
  <si>
    <t>DRTARP</t>
  </si>
  <si>
    <t>RECYCLING HAUL 15YD BOX</t>
  </si>
  <si>
    <t>RECYCLING HAUL 20YD BOX</t>
  </si>
  <si>
    <t>RECYCLING HAUL 30YD BOX</t>
  </si>
  <si>
    <t>RECYCLING HAUL 40YD BOX</t>
  </si>
  <si>
    <t>15YD RECYCLING DB RENTAL</t>
  </si>
  <si>
    <t>20YD RECYCLING DB RENTAL</t>
  </si>
  <si>
    <t>30YD RECYCLING DB RENTAL</t>
  </si>
  <si>
    <t>40YD RECYCLING DB RENTAL</t>
  </si>
  <si>
    <t>HAUL FEE WOOD-YD DEBRIS</t>
  </si>
  <si>
    <t>RECYCLING DB DELIVERY FEE</t>
  </si>
  <si>
    <t>RECYCLING DB TARP CHARGE</t>
  </si>
  <si>
    <t>PTON</t>
  </si>
  <si>
    <t>RECYCLING DISPOSAL</t>
  </si>
  <si>
    <t>Camas - Non-Regulated</t>
  </si>
  <si>
    <t>YARD DEBRIS SERV-ANNUAL</t>
  </si>
  <si>
    <t>YARD DEBRIS SVC-BIMTHLY</t>
  </si>
  <si>
    <t>CAYDA</t>
  </si>
  <si>
    <t>CAYDBM</t>
  </si>
  <si>
    <t>VLOCK</t>
  </si>
  <si>
    <t>LOCK CHARGE - PER MTH</t>
  </si>
  <si>
    <t>CRY5YEOW</t>
  </si>
  <si>
    <t>CRY90OC3</t>
  </si>
  <si>
    <t>CRY5YOC</t>
  </si>
  <si>
    <t>CRY8YOC</t>
  </si>
  <si>
    <t>5YD RECYCLE EOW</t>
  </si>
  <si>
    <t>3-90GAL RECY ON CALL RENT</t>
  </si>
  <si>
    <t>5YD RECY ON CALL RENTAL</t>
  </si>
  <si>
    <t>8YD RECY ON CALL RENT</t>
  </si>
  <si>
    <t>DROP BOX GARBAGE</t>
  </si>
  <si>
    <t>CAHAUL</t>
  </si>
  <si>
    <t>VHAUL30C</t>
  </si>
  <si>
    <t>CAHAULC</t>
  </si>
  <si>
    <t>CADEM15</t>
  </si>
  <si>
    <t>CADEM20</t>
  </si>
  <si>
    <t>CADEM30</t>
  </si>
  <si>
    <t>CADEM40</t>
  </si>
  <si>
    <t>CADEMLID</t>
  </si>
  <si>
    <t>CACOMPRNT</t>
  </si>
  <si>
    <t>DROPBOX HAUL FEE-CAMAS</t>
  </si>
  <si>
    <t>COMPACTOR HAUL 30YD</t>
  </si>
  <si>
    <t>COMPACTOR HAUL-CAMAS</t>
  </si>
  <si>
    <t>DROPBX&amp;LID RENT</t>
  </si>
  <si>
    <t>COMPACTOR RENTAL</t>
  </si>
  <si>
    <t>RR32W1</t>
  </si>
  <si>
    <t>RR32W2</t>
  </si>
  <si>
    <t>RREOW</t>
  </si>
  <si>
    <t>RR32MO</t>
  </si>
  <si>
    <t>COFOW</t>
  </si>
  <si>
    <t>RRDRVIN</t>
  </si>
  <si>
    <t>RDGD6</t>
  </si>
  <si>
    <t>RDGD26</t>
  </si>
  <si>
    <t>32GAL CAN EOW-RIDGE</t>
  </si>
  <si>
    <t>Ridgefield - Non-Regulated</t>
  </si>
  <si>
    <t>RRREC</t>
  </si>
  <si>
    <t>RESIDENTIAL RECY-RIDGE</t>
  </si>
  <si>
    <t>RYDM</t>
  </si>
  <si>
    <t>YARD DEBRIS SERV-MTHLY</t>
  </si>
  <si>
    <t>RC15Y1W</t>
  </si>
  <si>
    <t>RC1Y1W</t>
  </si>
  <si>
    <t>RC2Y1W</t>
  </si>
  <si>
    <t>RC3Y1W</t>
  </si>
  <si>
    <t>RC3Y2W</t>
  </si>
  <si>
    <t>RC4Y1W</t>
  </si>
  <si>
    <t>RC6Y1W</t>
  </si>
  <si>
    <t>RC6Y2W</t>
  </si>
  <si>
    <t>RC8Y1W</t>
  </si>
  <si>
    <t>RC32W2</t>
  </si>
  <si>
    <t>RC32W3</t>
  </si>
  <si>
    <t>RC32EOW</t>
  </si>
  <si>
    <t>RACCESS</t>
  </si>
  <si>
    <t>RCPLACE</t>
  </si>
  <si>
    <t>RC15YPR</t>
  </si>
  <si>
    <t>RC1YPR</t>
  </si>
  <si>
    <t>RC2YPR</t>
  </si>
  <si>
    <t>RC3YPR</t>
  </si>
  <si>
    <t>RC4YPR</t>
  </si>
  <si>
    <t>RC6YPR</t>
  </si>
  <si>
    <t>RC8YPR</t>
  </si>
  <si>
    <t>RROLLOUT</t>
  </si>
  <si>
    <t>32GAL CAN EOW-COM</t>
  </si>
  <si>
    <t>PERM CONT RENT 1YD-RIDGE</t>
  </si>
  <si>
    <t>RCRY961X</t>
  </si>
  <si>
    <t>96GAL RECY 1X WEEK-RIDGE</t>
  </si>
  <si>
    <t>RER20YD</t>
  </si>
  <si>
    <t>RER30YD</t>
  </si>
  <si>
    <t>RER40YD</t>
  </si>
  <si>
    <t>RRV20YD</t>
  </si>
  <si>
    <t>RRV30YD</t>
  </si>
  <si>
    <t>RRV40YD</t>
  </si>
  <si>
    <t>RDEM20</t>
  </si>
  <si>
    <t>RDEM30</t>
  </si>
  <si>
    <t>RDEM40</t>
  </si>
  <si>
    <t>RPLACE</t>
  </si>
  <si>
    <t>RLIDCHG</t>
  </si>
  <si>
    <t>DRMIX</t>
  </si>
  <si>
    <t>CO-MINGLE RECY DISP</t>
  </si>
  <si>
    <t>Vancouver - Non-Regulated</t>
  </si>
  <si>
    <t>VRA20EOWCO</t>
  </si>
  <si>
    <t>VRA20WCO</t>
  </si>
  <si>
    <t>VRA20W</t>
  </si>
  <si>
    <t>VRA20EOWHEL</t>
  </si>
  <si>
    <t>VRA20WHEL</t>
  </si>
  <si>
    <t>VRA20EOW</t>
  </si>
  <si>
    <t>VRA32CO</t>
  </si>
  <si>
    <t>VRA32EOW</t>
  </si>
  <si>
    <t>VRA32MO</t>
  </si>
  <si>
    <t>VRA32W</t>
  </si>
  <si>
    <t>VRA32EOWHEL</t>
  </si>
  <si>
    <t>VRA32MHEL</t>
  </si>
  <si>
    <t>VRA32WHEL</t>
  </si>
  <si>
    <t>VRA32EOWCO</t>
  </si>
  <si>
    <t>VRA32MCO</t>
  </si>
  <si>
    <t>VRA64W2</t>
  </si>
  <si>
    <t>VRA64W</t>
  </si>
  <si>
    <t>VRA64EOWCO</t>
  </si>
  <si>
    <t>VRA64WHEL</t>
  </si>
  <si>
    <t>VRA64WCO</t>
  </si>
  <si>
    <t>VRA64EOW</t>
  </si>
  <si>
    <t>VRA96WCO</t>
  </si>
  <si>
    <t>VRA96W</t>
  </si>
  <si>
    <t>WBSTOVE</t>
  </si>
  <si>
    <t>VRTPLACE</t>
  </si>
  <si>
    <t>20Gal Auto Eow-Carryout</t>
  </si>
  <si>
    <t>20Gal Auto Wkly-Carryout</t>
  </si>
  <si>
    <t>Automated 20g Cart Wkly</t>
  </si>
  <si>
    <t>Automated 20g Eow Helico</t>
  </si>
  <si>
    <t>Automated 20g Wkly Helico</t>
  </si>
  <si>
    <t>Automated 20gal Cart EOW</t>
  </si>
  <si>
    <t>Automated 32g Cart Carry</t>
  </si>
  <si>
    <t>Automated 32g Cart Eow</t>
  </si>
  <si>
    <t>Automated 32g Cart Mnth</t>
  </si>
  <si>
    <t>Automated 32g Cart Wkly</t>
  </si>
  <si>
    <t>Automated 32g Eow Helico</t>
  </si>
  <si>
    <t>Automated 32g Mnth Helico</t>
  </si>
  <si>
    <t>Automated 32g Wk Helico</t>
  </si>
  <si>
    <t>Automated 32gal Eow Carry</t>
  </si>
  <si>
    <t>Automated 32gal Mth Carry</t>
  </si>
  <si>
    <t>Automated 2-64g Carts Wk</t>
  </si>
  <si>
    <t>Automated 64g Cart Wkly</t>
  </si>
  <si>
    <t>Automated 64g EOW Carry</t>
  </si>
  <si>
    <t>Automated 64g Wk Helico</t>
  </si>
  <si>
    <t>Automated 64g Wkly Carry</t>
  </si>
  <si>
    <t>Automated 64gal Cart EOW</t>
  </si>
  <si>
    <t>Automated 96g Wkly Carry</t>
  </si>
  <si>
    <t>Automated 96gal Cart Wkly</t>
  </si>
  <si>
    <t>STOVE/RANGE</t>
  </si>
  <si>
    <t>TOTER REDELIVERY-GARBAGE</t>
  </si>
  <si>
    <t>VRRECHEL</t>
  </si>
  <si>
    <t>VRREC35</t>
  </si>
  <si>
    <t>VRREC48</t>
  </si>
  <si>
    <t>VRREC65</t>
  </si>
  <si>
    <t>VRREC95</t>
  </si>
  <si>
    <t>CURBSIDE RECY-CITY-HEL</t>
  </si>
  <si>
    <t>RES RECY 35G CART-CITY</t>
  </si>
  <si>
    <t>RES RECY 48G CART-CITY</t>
  </si>
  <si>
    <t>RES RECY 65G CART-CITY</t>
  </si>
  <si>
    <t>RES RECY 95G CART-CITY</t>
  </si>
  <si>
    <t>VMFTONS</t>
  </si>
  <si>
    <t>VMFREC</t>
  </si>
  <si>
    <t>MF RECYLE TONS</t>
  </si>
  <si>
    <t>VYDBM</t>
  </si>
  <si>
    <t>VC15Y1W</t>
  </si>
  <si>
    <t>VC15Y2W</t>
  </si>
  <si>
    <t>VC15Y3W</t>
  </si>
  <si>
    <t>VC15Y4W</t>
  </si>
  <si>
    <t>VC1Y1W</t>
  </si>
  <si>
    <t>VC1Y3W</t>
  </si>
  <si>
    <t>VC2Y1W</t>
  </si>
  <si>
    <t>VC2Y2W</t>
  </si>
  <si>
    <t>VC2Y3W</t>
  </si>
  <si>
    <t>VC2Y4W</t>
  </si>
  <si>
    <t>VC2Y5W</t>
  </si>
  <si>
    <t>VC2Y6W</t>
  </si>
  <si>
    <t>VC3Y1W</t>
  </si>
  <si>
    <t>VC3Y2W</t>
  </si>
  <si>
    <t>VC3Y3W</t>
  </si>
  <si>
    <t>VC3Y4W</t>
  </si>
  <si>
    <t>VC3Y5W</t>
  </si>
  <si>
    <t>VC3Y6W</t>
  </si>
  <si>
    <t>VRABIN</t>
  </si>
  <si>
    <t>VC4Y1W</t>
  </si>
  <si>
    <t>VC4Y2W</t>
  </si>
  <si>
    <t>VC4Y3W</t>
  </si>
  <si>
    <t>VC4Y4W</t>
  </si>
  <si>
    <t>VC4Y5W</t>
  </si>
  <si>
    <t>VC4Y6W</t>
  </si>
  <si>
    <t>VC5Y1W</t>
  </si>
  <si>
    <t>VC6Y1W</t>
  </si>
  <si>
    <t>VC6Y2W</t>
  </si>
  <si>
    <t>VC6Y4W</t>
  </si>
  <si>
    <t>VC8Y1W</t>
  </si>
  <si>
    <t>VC8Y2W</t>
  </si>
  <si>
    <t>VC8Y3W</t>
  </si>
  <si>
    <t>VC8Y4W</t>
  </si>
  <si>
    <t>VC8Y5W</t>
  </si>
  <si>
    <t>VC8Y6W</t>
  </si>
  <si>
    <t>VCCMP2Y</t>
  </si>
  <si>
    <t>VCCMP3Y</t>
  </si>
  <si>
    <t>VCCMP4Y</t>
  </si>
  <si>
    <t>VCCMP6Y</t>
  </si>
  <si>
    <t>VACCESS</t>
  </si>
  <si>
    <t>VCA20W</t>
  </si>
  <si>
    <t>VCA32W2</t>
  </si>
  <si>
    <t>VCA64W2</t>
  </si>
  <si>
    <t>VCA32CO</t>
  </si>
  <si>
    <t>VCA32EOW</t>
  </si>
  <si>
    <t>VCA32W</t>
  </si>
  <si>
    <t>VCA32W3</t>
  </si>
  <si>
    <t>VCA64CO</t>
  </si>
  <si>
    <t>VCA64EOW</t>
  </si>
  <si>
    <t>VCA64W</t>
  </si>
  <si>
    <t>VCA96CO</t>
  </si>
  <si>
    <t>VCA96EOW</t>
  </si>
  <si>
    <t>VCA96W</t>
  </si>
  <si>
    <t>VMF32CAN</t>
  </si>
  <si>
    <t>VCPLACE</t>
  </si>
  <si>
    <t>VEXBIN</t>
  </si>
  <si>
    <t>VCROLL15</t>
  </si>
  <si>
    <t>VROLLOUT</t>
  </si>
  <si>
    <t>VCSP2YC</t>
  </si>
  <si>
    <t>VCSP3YC</t>
  </si>
  <si>
    <t>CWSAN8</t>
  </si>
  <si>
    <t>1.5YD CONT 3X WEEKLY</t>
  </si>
  <si>
    <t>1.5YD CONT 4X WEEKLY</t>
  </si>
  <si>
    <t>1YD CONT 3X WEEKLY</t>
  </si>
  <si>
    <t>1YD CONT 5X WEEKLY</t>
  </si>
  <si>
    <t>2YD CONT 5X WEEKLY</t>
  </si>
  <si>
    <t>3YD RENT-A-BIN</t>
  </si>
  <si>
    <t>8YD CONT 6X WEEKLY</t>
  </si>
  <si>
    <t>6YD COMP CONT 1X WKLY</t>
  </si>
  <si>
    <t>Automated 20gal Wkly-Com</t>
  </si>
  <si>
    <t>Automated 2-32g Wkly-Com</t>
  </si>
  <si>
    <t>Automated 2-64g Wkly-Com</t>
  </si>
  <si>
    <t>Automated 32g W Carry-Com</t>
  </si>
  <si>
    <t>Automated 32Gal EOW-COM</t>
  </si>
  <si>
    <t>Automated 32gal Wkly-Com</t>
  </si>
  <si>
    <t>Automated 3-32g Wkly-Com</t>
  </si>
  <si>
    <t>Automated 64g W Carry-Com</t>
  </si>
  <si>
    <t>Automated 64gal EOW-Com</t>
  </si>
  <si>
    <t>Automated 64gal Wkly-Com</t>
  </si>
  <si>
    <t>Automated 96g W Carry-Com</t>
  </si>
  <si>
    <t>Automated 96gal Eow-Com</t>
  </si>
  <si>
    <t>Automated 96gal Wkly-Com</t>
  </si>
  <si>
    <t>VANC MULTI FAMILY 32 CART</t>
  </si>
  <si>
    <t>EXTRA PICKUP RENT-A-BIN</t>
  </si>
  <si>
    <t>ROLLOUT 15-20FT - PER MTH</t>
  </si>
  <si>
    <t>SPECIAL PICKUP 2YD COMP</t>
  </si>
  <si>
    <t>SPECIAL PICKUP 3YD COMP</t>
  </si>
  <si>
    <t>WASH &amp; SANITIZE CONT 8YD</t>
  </si>
  <si>
    <t>CRY1.5Y2X</t>
  </si>
  <si>
    <t>CRY2Y3X</t>
  </si>
  <si>
    <t>CRY3Y4X</t>
  </si>
  <si>
    <t>CRY4Y1MO</t>
  </si>
  <si>
    <t>CRY4Y4X</t>
  </si>
  <si>
    <t>CRY4Y5X</t>
  </si>
  <si>
    <t>CRY6Y5X</t>
  </si>
  <si>
    <t>CRY8Y5X</t>
  </si>
  <si>
    <t>CRY8YEOW</t>
  </si>
  <si>
    <t>0CRYEX902</t>
  </si>
  <si>
    <t>CRYLOCK</t>
  </si>
  <si>
    <t>1.5YD RECYCLE 2X WKLY</t>
  </si>
  <si>
    <t>1YD RECYCLE 3X WKLY</t>
  </si>
  <si>
    <t>2YD RECYCLE 3X WKLY</t>
  </si>
  <si>
    <t>3YD RECYCLE 4X WKLY</t>
  </si>
  <si>
    <t>4YD RECYCLE 1X MTHLY</t>
  </si>
  <si>
    <t>4YD RECYCLE 4X WKLY</t>
  </si>
  <si>
    <t>4YD RECYCLE 5X WKLY</t>
  </si>
  <si>
    <t>6YD RECYCLE 5X WKLY</t>
  </si>
  <si>
    <t>8YD RECYCLE 5X WKLY</t>
  </si>
  <si>
    <t>8YD RECYCLE EOW</t>
  </si>
  <si>
    <t>ON-CALL P/U 2-90GAL RECY</t>
  </si>
  <si>
    <t>RECY LOCK CHARGE</t>
  </si>
  <si>
    <t>VHAUL15</t>
  </si>
  <si>
    <t>VHAUL15C</t>
  </si>
  <si>
    <t>VHAUL25C</t>
  </si>
  <si>
    <t>VHAUL40C</t>
  </si>
  <si>
    <t>VDEM15</t>
  </si>
  <si>
    <t>VDEM20</t>
  </si>
  <si>
    <t>VDEM30</t>
  </si>
  <si>
    <t>VDEM40</t>
  </si>
  <si>
    <t>VPLACE</t>
  </si>
  <si>
    <t>VLIDCHG</t>
  </si>
  <si>
    <t>DWSAN15</t>
  </si>
  <si>
    <t>HAUL FEE 15YD DROPBOX</t>
  </si>
  <si>
    <t>COMPACTOR HAUL 15YD</t>
  </si>
  <si>
    <t>COMPACTOR HAUL 25YD</t>
  </si>
  <si>
    <t>COMPACTOR HAUL 40YD</t>
  </si>
  <si>
    <t>WASH &amp; SANITIZE DB 15YD</t>
  </si>
  <si>
    <t>COMMERCIAL SERVICES</t>
  </si>
  <si>
    <t>FOOD</t>
  </si>
  <si>
    <t>PTRAN</t>
  </si>
  <si>
    <t>COMPOST DISPOSAL</t>
  </si>
  <si>
    <t>FW/RECY TRANSACTION FEE</t>
  </si>
  <si>
    <t>Washougal - Non-Regulated</t>
  </si>
  <si>
    <t>WRG40EOWHEL15</t>
  </si>
  <si>
    <t>WRG40EOWHEL20</t>
  </si>
  <si>
    <t>WRG40EOWROL</t>
  </si>
  <si>
    <t>WRG40EOW</t>
  </si>
  <si>
    <t>WRG40MTHHEL</t>
  </si>
  <si>
    <t>WRG40MTH</t>
  </si>
  <si>
    <t>WRG40WKHEL15</t>
  </si>
  <si>
    <t>WRG40WKHEL20</t>
  </si>
  <si>
    <t>WRG40WKROL</t>
  </si>
  <si>
    <t>WRG40WK</t>
  </si>
  <si>
    <t>WRG90WK</t>
  </si>
  <si>
    <t>WRG90WKROL</t>
  </si>
  <si>
    <t>40GAL EOW HELICO 15</t>
  </si>
  <si>
    <t>40GAL EOW HELICO 20</t>
  </si>
  <si>
    <t>40GAL EOW ROLLOUT</t>
  </si>
  <si>
    <t>40GAL EVERY OTHER WEEK</t>
  </si>
  <si>
    <t>40GAL MONTHLY-HELICO</t>
  </si>
  <si>
    <t>40GAL MONTHLY-RESIDENTIAL</t>
  </si>
  <si>
    <t>40GAL WEEKLY HELICO 15</t>
  </si>
  <si>
    <t>40GAL WEEKLY HELICO 20</t>
  </si>
  <si>
    <t>40GAL WEEKLY ROLLOUT</t>
  </si>
  <si>
    <t>40GAL WEEKLY-RESIDENTIAL</t>
  </si>
  <si>
    <t>90GAL WEEKLY</t>
  </si>
  <si>
    <t>90GAL WEEKLY ROLLOUT</t>
  </si>
  <si>
    <t>WRREC65</t>
  </si>
  <si>
    <t>WRREC95</t>
  </si>
  <si>
    <t>RES RECY 65G CART-WSGL</t>
  </si>
  <si>
    <t>RES RECY 95G CART-WSGL</t>
  </si>
  <si>
    <t>WMFREC</t>
  </si>
  <si>
    <t>MULTI-FAM RECYCLING-WSGL</t>
  </si>
  <si>
    <t>WYDA</t>
  </si>
  <si>
    <t>WYDBM</t>
  </si>
  <si>
    <t>WC15Y1W</t>
  </si>
  <si>
    <t>WC1Y1W</t>
  </si>
  <si>
    <t>WC1Y2W</t>
  </si>
  <si>
    <t>WC2Y1W</t>
  </si>
  <si>
    <t>WC2Y2W</t>
  </si>
  <si>
    <t>WC3Y1W</t>
  </si>
  <si>
    <t>WC3Y2W</t>
  </si>
  <si>
    <t>WC3Y3W</t>
  </si>
  <si>
    <t>WC4Y1W</t>
  </si>
  <si>
    <t>WC4Y2W</t>
  </si>
  <si>
    <t>WC4Y3W</t>
  </si>
  <si>
    <t>WC6Y1W</t>
  </si>
  <si>
    <t>WC6Y2W</t>
  </si>
  <si>
    <t>WC6Y3W</t>
  </si>
  <si>
    <t>WC8Y1W</t>
  </si>
  <si>
    <t>WC8Y2W</t>
  </si>
  <si>
    <t>WCG40WK</t>
  </si>
  <si>
    <t>WCG90WK</t>
  </si>
  <si>
    <t>WCACCESS</t>
  </si>
  <si>
    <t>WCPLACE</t>
  </si>
  <si>
    <t>WCROL</t>
  </si>
  <si>
    <t>WSGL</t>
  </si>
  <si>
    <t>40GAL WEEKLY-COMMERCIAL</t>
  </si>
  <si>
    <t>90GAL WEEKLY COMM</t>
  </si>
  <si>
    <t>ROLLOUT CHARGE - CONT</t>
  </si>
  <si>
    <t>WASHOUGAL RECYCLE</t>
  </si>
  <si>
    <t>WAHAUL20</t>
  </si>
  <si>
    <t>WAHAUL30</t>
  </si>
  <si>
    <t>WAHAUL40</t>
  </si>
  <si>
    <t>WAHAULC</t>
  </si>
  <si>
    <t>WADEM20</t>
  </si>
  <si>
    <t>WADEM30</t>
  </si>
  <si>
    <t>WADEM40</t>
  </si>
  <si>
    <t>WADEMLID30</t>
  </si>
  <si>
    <t>WASHOUGAL HAUL FEE 20YD</t>
  </si>
  <si>
    <t>WASHOUGAL HAUL FEE 30YD</t>
  </si>
  <si>
    <t>WASHOUGAL HAUL FEE 40YD</t>
  </si>
  <si>
    <t>WASHOUGAL HAUL COMP</t>
  </si>
  <si>
    <t>DROPBOX RENT 20YD-WSGL</t>
  </si>
  <si>
    <t>DROPBOX RENT 30YD-WSGL</t>
  </si>
  <si>
    <t>DROPBOX RENT 40YD-WSGL</t>
  </si>
  <si>
    <t>West Vancouver - Non-Regulated</t>
  </si>
  <si>
    <t>Regulated</t>
  </si>
  <si>
    <t>Camas</t>
  </si>
  <si>
    <t>Ridgefield</t>
  </si>
  <si>
    <t>Vancouver</t>
  </si>
  <si>
    <t>Washougal</t>
  </si>
  <si>
    <t>West Vancouver</t>
  </si>
  <si>
    <t>Resi Recycle</t>
  </si>
  <si>
    <t>Clark County Non-Reg</t>
  </si>
  <si>
    <t>MF Recyling</t>
  </si>
  <si>
    <t xml:space="preserve">RECYCLING DROP BOX </t>
  </si>
  <si>
    <t>TOTAL RECYCLING DROP BOX HAULS/RENTAL</t>
  </si>
  <si>
    <t>Roll Off Recycling</t>
  </si>
  <si>
    <t>BD</t>
  </si>
  <si>
    <t>MM</t>
  </si>
  <si>
    <t>TRANSFER PAYMENT</t>
  </si>
  <si>
    <t>Residential MSW</t>
  </si>
  <si>
    <t>OCC</t>
  </si>
  <si>
    <t>TONS CARDBOARD</t>
  </si>
  <si>
    <t>RETCKC</t>
  </si>
  <si>
    <t>RETURNED CHECK</t>
  </si>
  <si>
    <t>CRY2-5Y1X</t>
  </si>
  <si>
    <t>2-5YD RECYCLE 1X WKLY</t>
  </si>
  <si>
    <t>CRY2-3Y1X</t>
  </si>
  <si>
    <t>2-3YD RECYCLE 1X WKLY</t>
  </si>
  <si>
    <t>RCRMV</t>
  </si>
  <si>
    <t>CONTAINER REMOVAL FEE</t>
  </si>
  <si>
    <t>CRY1Y2X</t>
  </si>
  <si>
    <t>1YD RECYCLE 2X WKLY</t>
  </si>
  <si>
    <t>CRCALL</t>
  </si>
  <si>
    <t>SCHX</t>
  </si>
  <si>
    <t>SCHOOL RECY EX YDS/EX PU</t>
  </si>
  <si>
    <t>RCSP2Y</t>
  </si>
  <si>
    <t>RRV15YD</t>
  </si>
  <si>
    <t>STANDBY</t>
  </si>
  <si>
    <t>STANDBY TIME PER HOUR</t>
  </si>
  <si>
    <t>EXTRA ORGANIC PAILS</t>
  </si>
  <si>
    <t>MFTOTE</t>
  </si>
  <si>
    <t>RC4Y2W</t>
  </si>
  <si>
    <t>90SC</t>
  </si>
  <si>
    <t>90 GAL SHRED CART</t>
  </si>
  <si>
    <t>SHEXB</t>
  </si>
  <si>
    <t>SHRED EXTRA BOX</t>
  </si>
  <si>
    <t>32CON</t>
  </si>
  <si>
    <t>32 SHRED CONSOLE</t>
  </si>
  <si>
    <t>32SC</t>
  </si>
  <si>
    <t>32 GAL SHRED CART</t>
  </si>
  <si>
    <t>SHPP</t>
  </si>
  <si>
    <t>SHRED PER POUND</t>
  </si>
  <si>
    <t>64SC</t>
  </si>
  <si>
    <t>64 GAL SHRED CART</t>
  </si>
  <si>
    <t>BALADJ</t>
  </si>
  <si>
    <t>YARD DEBRIS PRICE ADJ</t>
  </si>
  <si>
    <t>SHPURGE</t>
  </si>
  <si>
    <t>SHRED ONE TIME PURGE</t>
  </si>
  <si>
    <t>SH32NP</t>
  </si>
  <si>
    <t>SHRED 32 GL NON PAPER</t>
  </si>
  <si>
    <t>Grand Total</t>
  </si>
  <si>
    <t>Shredding</t>
  </si>
  <si>
    <t>CC1Y3W</t>
  </si>
  <si>
    <t>CC1Y5W</t>
  </si>
  <si>
    <t>CC2Y5W</t>
  </si>
  <si>
    <t>3YD CONT 7X WEEKLY</t>
  </si>
  <si>
    <t>CC8Y6W</t>
  </si>
  <si>
    <t>VCSP6YC</t>
  </si>
  <si>
    <t>SPECIAL PICKUP 6YD COMP</t>
  </si>
  <si>
    <t>RCSP15Y</t>
  </si>
  <si>
    <t>RCSP4Y</t>
  </si>
  <si>
    <t>CCOMP35</t>
  </si>
  <si>
    <t>EMPTY 35YD COMPACTOR</t>
  </si>
  <si>
    <t>MF32CAN</t>
  </si>
  <si>
    <t>MULTI FAMILY 32 CAN</t>
  </si>
  <si>
    <t>CRY902X2</t>
  </si>
  <si>
    <t>2-90GAL RECYCLE 2X WKLY</t>
  </si>
  <si>
    <t>CRY902X3</t>
  </si>
  <si>
    <t>3-90GAL RECYCLE 2X WKLY</t>
  </si>
  <si>
    <t>CRY2-3Y2X</t>
  </si>
  <si>
    <t>2-3YD RECYCLE 2X WKLY</t>
  </si>
  <si>
    <t>0CRY2YOC</t>
  </si>
  <si>
    <t>0CRY1.5OC</t>
  </si>
  <si>
    <t>CRY1Y5X</t>
  </si>
  <si>
    <t>CRY5Y5X</t>
  </si>
  <si>
    <t>5YD RECYCLE 5X WKLY</t>
  </si>
  <si>
    <t>CRY6Y4X</t>
  </si>
  <si>
    <t>6YD RECYCLE 4X WKLY</t>
  </si>
  <si>
    <t>CR32W9</t>
  </si>
  <si>
    <t>VRA32OC</t>
  </si>
  <si>
    <t>PHAZ</t>
  </si>
  <si>
    <t>SHHD</t>
  </si>
  <si>
    <t>SHRED HARD DRIVES</t>
  </si>
  <si>
    <t>SHEV</t>
  </si>
  <si>
    <t>SHRED EVENT</t>
  </si>
  <si>
    <t>TRIP-SH</t>
  </si>
  <si>
    <t>SHRED TRIP CHARGE</t>
  </si>
  <si>
    <t>RC2Y2W</t>
  </si>
  <si>
    <t>RC4Y3W</t>
  </si>
  <si>
    <t>RC8Y2W</t>
  </si>
  <si>
    <t>RDGD51</t>
  </si>
  <si>
    <t>RDGD76</t>
  </si>
  <si>
    <t>VC3Y7W</t>
  </si>
  <si>
    <t>VC6Y5W</t>
  </si>
  <si>
    <t>Automated 32gal Mthly-Com</t>
  </si>
  <si>
    <t>WRG40MTHROL</t>
  </si>
  <si>
    <t>40GAL MONTHLY-RES ROLLOUT</t>
  </si>
  <si>
    <t>Shred - Non-Regulated</t>
  </si>
  <si>
    <t>TOTAL SHRED</t>
  </si>
  <si>
    <t>Variance</t>
  </si>
  <si>
    <t>Non-RM Rev</t>
  </si>
  <si>
    <t>Pivot</t>
  </si>
  <si>
    <t>Ck S/B $0</t>
  </si>
  <si>
    <t>Non RM</t>
  </si>
  <si>
    <t>ck s/b $0</t>
  </si>
  <si>
    <t/>
  </si>
  <si>
    <t>31009</t>
  </si>
  <si>
    <t>Disposal</t>
  </si>
  <si>
    <t>RETURNED CHECK CHARGE</t>
  </si>
  <si>
    <t>Regulated Price Outs Total</t>
  </si>
  <si>
    <t>Pivot Total</t>
  </si>
  <si>
    <t>Formula</t>
  </si>
  <si>
    <t xml:space="preserve">Adjusted Variance to GL </t>
  </si>
  <si>
    <t>Non MM001</t>
  </si>
  <si>
    <t xml:space="preserve">Variance </t>
  </si>
  <si>
    <t>Camas Recycling - 32100 (Non MM001)</t>
  </si>
  <si>
    <t>Camas Agreement 32000 (Non MM001)</t>
  </si>
  <si>
    <t>32100 COV Curbside Recycling S(Non MM001)</t>
  </si>
  <si>
    <t>CRY1YGLS1X</t>
  </si>
  <si>
    <t>1 YD GLASS CONT 1X WKLY</t>
  </si>
  <si>
    <t>LINER-RO</t>
  </si>
  <si>
    <t>DROPBOX LINER CHARGE</t>
  </si>
  <si>
    <t>COMMODITY</t>
  </si>
  <si>
    <t>COMMODITY SURCHARGE</t>
  </si>
  <si>
    <t>SHREDEL</t>
  </si>
  <si>
    <t>SHRED REDELIVERY FEE</t>
  </si>
  <si>
    <t>HAZARDOUS WASTE FEE</t>
  </si>
  <si>
    <t>DRDEMO</t>
  </si>
  <si>
    <t>CONST-DEMO RECY DISPOSAL</t>
  </si>
  <si>
    <t>DRCONCRETE</t>
  </si>
  <si>
    <t>CONCRETE-MASONRY RECY DIS</t>
  </si>
  <si>
    <t>DRWOOD</t>
  </si>
  <si>
    <t>WOOD RECY DISPOSAL</t>
  </si>
  <si>
    <t>YDDISP</t>
  </si>
  <si>
    <t>YARD DEBRIS DISPOSAL</t>
  </si>
  <si>
    <t>DBACC</t>
  </si>
  <si>
    <t>DB ACCESS CHARGE PER PICK</t>
  </si>
  <si>
    <t>DRROOF</t>
  </si>
  <si>
    <t>ROOFING RECY DISPOSAL</t>
  </si>
  <si>
    <t>8YD PICKLE FORK RENT</t>
  </si>
  <si>
    <t>DRHMIX30</t>
  </si>
  <si>
    <t>RECY HAUL 30YD MIX-OCC</t>
  </si>
  <si>
    <t>DRHMIX40</t>
  </si>
  <si>
    <t>RECY HAUL 40YD MIX-OCC</t>
  </si>
  <si>
    <t>DRHMIX20</t>
  </si>
  <si>
    <t>RECY HAUL 20YD MIX-OCC</t>
  </si>
  <si>
    <t>CRCREM</t>
  </si>
  <si>
    <t>CONTAINER REMOVAL - CRC</t>
  </si>
  <si>
    <t>PF2YRENT</t>
  </si>
  <si>
    <t>2YD PICKLE FORK RENT</t>
  </si>
  <si>
    <t>DRHMIX15   </t>
  </si>
  <si>
    <t>RECY HAUL 15YD MIX-OCC</t>
  </si>
  <si>
    <t>Customer Count Summary</t>
  </si>
  <si>
    <t>Total Reg.</t>
  </si>
  <si>
    <t>Total Non-Reg.</t>
  </si>
  <si>
    <t>Residential</t>
  </si>
  <si>
    <t>Garbage</t>
  </si>
  <si>
    <t>Recycle</t>
  </si>
  <si>
    <t>Yard Waste</t>
  </si>
  <si>
    <t>Total Residential</t>
  </si>
  <si>
    <t>Commercial</t>
  </si>
  <si>
    <t>MF Garbage</t>
  </si>
  <si>
    <t>MF Recycle</t>
  </si>
  <si>
    <t>Total Commercial</t>
  </si>
  <si>
    <t>Hauls/Rent</t>
  </si>
  <si>
    <t>Total Roll Off</t>
  </si>
  <si>
    <t>Average</t>
  </si>
  <si>
    <t>PF1.5YRENT</t>
  </si>
  <si>
    <t>PF3YRENT</t>
  </si>
  <si>
    <t>3YD PICKLE FORK RENT</t>
  </si>
  <si>
    <t xml:space="preserve"> </t>
  </si>
  <si>
    <t>Total Avg Customer Count</t>
  </si>
  <si>
    <t>Total Avg Customers</t>
  </si>
  <si>
    <t>Compost</t>
  </si>
  <si>
    <t>YDMRENT</t>
  </si>
  <si>
    <t>YARD CART RENT MTHLY</t>
  </si>
  <si>
    <t>RPSMMF</t>
  </si>
  <si>
    <t>CTYD6E</t>
  </si>
  <si>
    <t>6-25 FT DIST EOW</t>
  </si>
  <si>
    <t>RPSBO</t>
  </si>
  <si>
    <t>RPSMO</t>
  </si>
  <si>
    <t>CRY1.5EOW</t>
  </si>
  <si>
    <t>SHOFC</t>
  </si>
  <si>
    <t>SHRED OVERFILLED CONSOLE/CART</t>
  </si>
  <si>
    <t>RCA32W</t>
  </si>
  <si>
    <t>AUTOMATED 32GAL CART WEEKLY-COM</t>
  </si>
  <si>
    <t>RCA64W</t>
  </si>
  <si>
    <t>AUTOMATED 64GAL CART WEEKLY-COM</t>
  </si>
  <si>
    <t>RCA96W</t>
  </si>
  <si>
    <t>AUTOMATED 96GAL CART WEEKLY-COM</t>
  </si>
  <si>
    <t>RRA20W</t>
  </si>
  <si>
    <t>AUTOMATED 20GAL CART WEEKLY</t>
  </si>
  <si>
    <t>RRA32EOW</t>
  </si>
  <si>
    <t>AUTOMATED 32GAL CART EOW</t>
  </si>
  <si>
    <t>RRA32MO</t>
  </si>
  <si>
    <t>AUTOMATED 32GAL CART MONTHLY</t>
  </si>
  <si>
    <t>RRA32W</t>
  </si>
  <si>
    <t>AUTOMATED 32GAL CART WEEKLY</t>
  </si>
  <si>
    <t>RRA64W</t>
  </si>
  <si>
    <t>AUTOMATED 64GAL CART WEEKLY</t>
  </si>
  <si>
    <t>RRA64W2</t>
  </si>
  <si>
    <t>AUTOMATED 2-64GAL CART</t>
  </si>
  <si>
    <t>RRA64WHEL</t>
  </si>
  <si>
    <t>AUTOMATED 64GAL CART WEEKLY-HELICO</t>
  </si>
  <si>
    <t>RRA96W</t>
  </si>
  <si>
    <t>AUTOMATED 96GAL CART WEEKLY</t>
  </si>
  <si>
    <t>CDRVEOW</t>
  </si>
  <si>
    <t>EOW DRIVE IN MTHLY</t>
  </si>
  <si>
    <t>CRACC</t>
  </si>
  <si>
    <t>ACCESS CHG - RESIDENTIAL</t>
  </si>
  <si>
    <t>CRDVEOW</t>
  </si>
  <si>
    <t>DRIVE IN-EOW RESIDENTIAL</t>
  </si>
  <si>
    <t>CASPEC</t>
  </si>
  <si>
    <t>SPECIAL DISP FEE</t>
  </si>
  <si>
    <t>PF2FP</t>
  </si>
  <si>
    <t>REMOVE 2YD CONT</t>
  </si>
  <si>
    <t>PF3ER</t>
  </si>
  <si>
    <t>EMPTY &amp; RETURN 3YD CONT</t>
  </si>
  <si>
    <t>CTYD126E</t>
  </si>
  <si>
    <t>126-150 FT DIST EOW</t>
  </si>
  <si>
    <t>CTYD26E</t>
  </si>
  <si>
    <t>26-50 FT DIST EOW</t>
  </si>
  <si>
    <t>RPSBE</t>
  </si>
  <si>
    <t>URREC</t>
  </si>
  <si>
    <t>CURBSIDE RECY-UGARIDGE</t>
  </si>
  <si>
    <t>OM20G</t>
  </si>
  <si>
    <t>20G ORGANIC-YD MTHLY</t>
  </si>
  <si>
    <t>OM32G</t>
  </si>
  <si>
    <t>32G ORGANIC-YD MTHLY</t>
  </si>
  <si>
    <t>OM64G</t>
  </si>
  <si>
    <t>64G ORGANIC-YD MTHLY</t>
  </si>
  <si>
    <t>OM96G</t>
  </si>
  <si>
    <t>96G ORGANIC-YD MTHLY</t>
  </si>
  <si>
    <t>OMC64EOW</t>
  </si>
  <si>
    <t>ORGANICS WASTE 64G EOW</t>
  </si>
  <si>
    <t>OMC64WK</t>
  </si>
  <si>
    <t>ORGANICS WASTE 64G WKLY</t>
  </si>
  <si>
    <t>VC1Y2W</t>
  </si>
  <si>
    <t>VC6Y3W</t>
  </si>
  <si>
    <t>VMF64W</t>
  </si>
  <si>
    <t>MULTIFAM 64G WKLY</t>
  </si>
  <si>
    <t>VMF96CO</t>
  </si>
  <si>
    <t>MULTIFAM 96G CARRY OUT</t>
  </si>
  <si>
    <t>VMF96W</t>
  </si>
  <si>
    <t>MULTIFAM 96G WKLY</t>
  </si>
  <si>
    <t>CRY2Y4X</t>
  </si>
  <si>
    <t>2YD RECYCLE 4X WEEKLY</t>
  </si>
  <si>
    <t>VRYCOV</t>
  </si>
  <si>
    <t>PILOT RECYCLING COV</t>
  </si>
  <si>
    <t>VRYRPS</t>
  </si>
  <si>
    <t>PILOT RECYCLING SERVICE</t>
  </si>
  <si>
    <t>OR20G</t>
  </si>
  <si>
    <t>ORGANICS-YARD WASTE 20G</t>
  </si>
  <si>
    <t>OR32G</t>
  </si>
  <si>
    <t>ORGANICS-YARD WASTE 32G</t>
  </si>
  <si>
    <t>OR64G</t>
  </si>
  <si>
    <t>ORGANICS-YARD WASTE 64G</t>
  </si>
  <si>
    <t>OR96G</t>
  </si>
  <si>
    <t>ORGANICS-YARD WASTE 96G</t>
  </si>
  <si>
    <t>RRCRENT35</t>
  </si>
  <si>
    <t>35G RES RECY CART RENT</t>
  </si>
  <si>
    <t>RRCRENT64</t>
  </si>
  <si>
    <t>65G RES RECY CART RENT</t>
  </si>
  <si>
    <t>FWDEM20</t>
  </si>
  <si>
    <t>FOOD COMPOST DB 20YD RENT</t>
  </si>
  <si>
    <t>FWLID</t>
  </si>
  <si>
    <t>FOOD COMPOST DB LID RENT</t>
  </si>
  <si>
    <t>FWHAUL20</t>
  </si>
  <si>
    <t>FOOD COMPOST HAUL 20YD</t>
  </si>
  <si>
    <t>WCG40EOW</t>
  </si>
  <si>
    <t>40G CART EOW-COMM</t>
  </si>
  <si>
    <t>WCG40MTH</t>
  </si>
  <si>
    <t>40G CART MTHLY-COMM</t>
  </si>
  <si>
    <t>SFR65G1X</t>
  </si>
  <si>
    <t>FWHAUL15</t>
  </si>
  <si>
    <t>FOOD COMPOST HAUL 15YD</t>
  </si>
  <si>
    <t>RPSCR</t>
  </si>
  <si>
    <t>RPS ADJUSTMENT</t>
  </si>
  <si>
    <t>SHDESKBIN</t>
  </si>
  <si>
    <t>SHRED DESK SIDE BIN</t>
  </si>
  <si>
    <t>DBPTRIP</t>
  </si>
  <si>
    <t>DB TRIP CHARGE - PORTLAND</t>
  </si>
  <si>
    <t>RCA32EOW</t>
  </si>
  <si>
    <t>AUTOMATED 32GAL CART EOW-COM</t>
  </si>
  <si>
    <t>PF3FP</t>
  </si>
  <si>
    <t>REMOVE 3YD CONT</t>
  </si>
  <si>
    <t>PF2ER</t>
  </si>
  <si>
    <t>EMPTY &amp; RETURN 2YD CONT</t>
  </si>
  <si>
    <t>FWPLACE</t>
  </si>
  <si>
    <t>FOOD COMPOST DB DELIVERY FEE</t>
  </si>
  <si>
    <t>SHTIME</t>
  </si>
  <si>
    <t>SHRED TIME CHARGE PER HOUR</t>
  </si>
  <si>
    <t>RPLUSX</t>
  </si>
  <si>
    <t>RECYCLE PLUS EXTRAS</t>
  </si>
  <si>
    <t>RPLUS</t>
  </si>
  <si>
    <t>RECYCLE PLUS COLLECTION SERVICE</t>
  </si>
  <si>
    <t>CARREC65</t>
  </si>
  <si>
    <t>RES RECY 65G CART-CAMAS</t>
  </si>
  <si>
    <t>RRA32WHEL</t>
  </si>
  <si>
    <t>AUTOMATED 32GAL CART WEEKLY-HELICO</t>
  </si>
  <si>
    <t>CTYD51E</t>
  </si>
  <si>
    <t>51-75 FT DIST EOW</t>
  </si>
  <si>
    <t>Contract Rate</t>
  </si>
  <si>
    <t>PF1.5FP</t>
  </si>
  <si>
    <t>SSVC2Y3W</t>
  </si>
  <si>
    <t>SSVC2Y4W</t>
  </si>
  <si>
    <t>SSVC2Y5W</t>
  </si>
  <si>
    <t>SPACE SAVER 2YD 3X WKLY</t>
  </si>
  <si>
    <t>SPACE SAVER 2YD 4X WKLY</t>
  </si>
  <si>
    <t>SPACE SAVER 2YD 5X WKLY</t>
  </si>
  <si>
    <t>Gets booked under Resi Recycling</t>
  </si>
  <si>
    <t>REMOVE 1.5YD CONT</t>
  </si>
  <si>
    <t>Adj</t>
  </si>
  <si>
    <t>RPLSTYROV</t>
  </si>
  <si>
    <t>RECYCLE PLUS STYROFOAM EXTRAS</t>
  </si>
  <si>
    <t>West Van</t>
  </si>
  <si>
    <t>Unclaimed</t>
  </si>
  <si>
    <t>VCA32MCO</t>
  </si>
  <si>
    <t>CR32w1</t>
  </si>
  <si>
    <t>CFR65G2x</t>
  </si>
  <si>
    <t>Tariff Pg.</t>
  </si>
  <si>
    <t>17/33</t>
  </si>
  <si>
    <t>Cart</t>
  </si>
  <si>
    <t>Container</t>
  </si>
  <si>
    <t>Drop Box</t>
  </si>
  <si>
    <t>Quantity</t>
  </si>
  <si>
    <t>Count</t>
  </si>
  <si>
    <t>Recycle Plus</t>
  </si>
  <si>
    <t>Avg</t>
  </si>
  <si>
    <t>Disposal Customer</t>
  </si>
  <si>
    <t>2023</t>
  </si>
  <si>
    <t>Total Customers</t>
  </si>
  <si>
    <t>Container Count by LOB</t>
  </si>
  <si>
    <t>Recycling Carts</t>
  </si>
  <si>
    <t>Recycling Bins</t>
  </si>
  <si>
    <t>Roll-Off</t>
  </si>
  <si>
    <t>Roll-Off Recycle</t>
  </si>
  <si>
    <t>Commercial - Carts</t>
  </si>
  <si>
    <t>Commercial - Containers</t>
  </si>
  <si>
    <t>Commercial Recycling - Carts</t>
  </si>
  <si>
    <t>Commercial Recycling - Containers</t>
  </si>
  <si>
    <t>Multi-Family Recycling - Carts</t>
  </si>
  <si>
    <t>Multi-Family Recycling - Containers</t>
  </si>
  <si>
    <t>Container Count by Non-Reg Area</t>
  </si>
  <si>
    <t>UTC Non Reg</t>
  </si>
  <si>
    <t>Vancouver Non Reg</t>
  </si>
  <si>
    <t>Check</t>
  </si>
  <si>
    <t>Total Containers</t>
  </si>
  <si>
    <t>Total Revenue</t>
  </si>
  <si>
    <t>Customers for DF</t>
  </si>
  <si>
    <t>Customers for Df</t>
  </si>
  <si>
    <t>Disposal Count</t>
  </si>
  <si>
    <t>Disposal Cust Count</t>
  </si>
  <si>
    <t>Confirm with district - divided by 4.33.  Assumed most cust get weekly hauls?</t>
  </si>
  <si>
    <t>What's the service code?</t>
  </si>
  <si>
    <t>TOTAL SERVICE CODES</t>
  </si>
  <si>
    <t>Sep 2021-Dec 2023</t>
  </si>
  <si>
    <t>Finance Charge</t>
  </si>
  <si>
    <t>W/O BAD DEBT</t>
  </si>
  <si>
    <t>EXTRA TOTE BAGS</t>
  </si>
  <si>
    <t>32GAL CAN MONTHLY</t>
  </si>
  <si>
    <t>UNCLAIMED PROPERTY</t>
  </si>
  <si>
    <t>65G SCH FOOD COMPOST 1X WKLY</t>
  </si>
  <si>
    <t>RECYCLABLES PROCESSING SURCHARGE</t>
  </si>
  <si>
    <t>RECYCLABLES PROCESSING SU</t>
  </si>
  <si>
    <t>hit 31005 on MM001</t>
  </si>
  <si>
    <t xml:space="preserve">Recycle DB Rent is charged as an extra account which hits RO GL </t>
  </si>
  <si>
    <t>2023-2024</t>
  </si>
  <si>
    <t>April 1, 2023 - March 31, 2024</t>
  </si>
  <si>
    <t>WASHRECYCLINGCRYTRIP</t>
  </si>
  <si>
    <t>Goodwill Credit</t>
  </si>
  <si>
    <t>32000 and 32001</t>
  </si>
  <si>
    <t>32110 &amp; 32111</t>
  </si>
  <si>
    <t>33000 &amp; 33001</t>
  </si>
  <si>
    <t>33020 &amp; 33031</t>
  </si>
  <si>
    <t>31000 &amp; 31010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</si>
</sst>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General_)"/>
    <numFmt numFmtId="167" formatCode="_(&quot;$&quot;* #,##0_);_(&quot;$&quot;* \(#,##0\);_(&quot;$&quot;* &quot;-&quot;??_);_(@_)"/>
    <numFmt numFmtId="168" formatCode="_(* #,##0.0_);_(* \(#,##0.0\);_(* &quot;-&quot;??_);_(@_)"/>
  </numFmts>
  <fonts count="76" x14ac:knownFonts="1">
    <font>
      <sz val="11"/>
      <color theme="1"/>
      <name val="Calibri"/>
      <family val="2"/>
      <scheme val="minor"/>
    </font>
    <font>
      <sz val="11"/>
      <color theme="1"/>
      <name val="Calibri"/>
      <family val="2"/>
      <scheme val="minor"/>
    </font>
    <font>
      <sz val="11"/>
      <color indexed="8"/>
      <name val="Arial"/>
      <family val="2"/>
    </font>
    <font>
      <sz val="9"/>
      <color indexed="8"/>
      <name val="Calibri"/>
      <family val="2"/>
    </font>
    <font>
      <b/>
      <sz val="9"/>
      <color indexed="8"/>
      <name val="Calibri"/>
      <family val="2"/>
    </font>
    <font>
      <b/>
      <u/>
      <sz val="9"/>
      <color indexed="8"/>
      <name val="Calibri"/>
      <family val="2"/>
    </font>
    <font>
      <b/>
      <sz val="9"/>
      <color indexed="50"/>
      <name val="Calibri"/>
      <family val="2"/>
    </font>
    <font>
      <sz val="11"/>
      <color indexed="8"/>
      <name val="Calibri"/>
      <family val="2"/>
    </font>
    <font>
      <sz val="10"/>
      <name val="Arial"/>
      <family val="2"/>
    </font>
    <font>
      <sz val="9"/>
      <name val="Calibri"/>
      <family val="2"/>
    </font>
    <font>
      <sz val="11"/>
      <color indexed="9"/>
      <name val="Calibri"/>
      <family val="2"/>
    </font>
    <font>
      <sz val="11"/>
      <color indexed="20"/>
      <name val="Calibri"/>
      <family val="2"/>
    </font>
    <font>
      <b/>
      <sz val="11"/>
      <color indexed="52"/>
      <name val="Calibri"/>
      <family val="2"/>
    </font>
    <font>
      <sz val="10"/>
      <color indexed="8"/>
      <name val="Arial"/>
      <family val="2"/>
    </font>
    <font>
      <sz val="12"/>
      <name val="Courier"/>
      <family val="3"/>
    </font>
    <font>
      <sz val="9"/>
      <color indexed="8"/>
      <name val="Arial"/>
      <family val="2"/>
    </font>
    <font>
      <sz val="10"/>
      <name val="Times New Roman"/>
      <family val="1"/>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sz val="10"/>
      <name val="MS Sans Serif"/>
      <family val="2"/>
    </font>
    <font>
      <i/>
      <sz val="10"/>
      <color indexed="10"/>
      <name val="Arial"/>
      <family val="2"/>
    </font>
    <font>
      <b/>
      <sz val="10"/>
      <name val="MS Sans Serif"/>
      <family val="2"/>
    </font>
    <font>
      <b/>
      <sz val="11"/>
      <color indexed="8"/>
      <name val="Calibri"/>
      <family val="2"/>
    </font>
    <font>
      <b/>
      <sz val="9"/>
      <name val="Calibri"/>
      <family val="2"/>
    </font>
    <font>
      <b/>
      <sz val="11"/>
      <color theme="1"/>
      <name val="Calibri"/>
      <family val="2"/>
      <scheme val="minor"/>
    </font>
    <font>
      <sz val="9"/>
      <color indexed="8"/>
      <name val="Calibri"/>
      <family val="2"/>
      <scheme val="minor"/>
    </font>
    <font>
      <b/>
      <sz val="9"/>
      <color indexed="8"/>
      <name val="Calibri"/>
      <family val="2"/>
      <scheme val="minor"/>
    </font>
    <font>
      <b/>
      <u/>
      <sz val="9"/>
      <color indexed="8"/>
      <name val="Calibri"/>
      <family val="2"/>
      <scheme val="minor"/>
    </font>
    <font>
      <sz val="9"/>
      <color theme="1"/>
      <name val="Calibri"/>
      <family val="2"/>
      <scheme val="minor"/>
    </font>
    <font>
      <sz val="8"/>
      <color indexed="81"/>
      <name val="Tahoma"/>
      <family val="2"/>
    </font>
    <font>
      <b/>
      <sz val="8"/>
      <color indexed="81"/>
      <name val="Tahoma"/>
      <family val="2"/>
    </font>
    <font>
      <sz val="10"/>
      <color theme="1"/>
      <name val="Calibri"/>
      <family val="2"/>
      <scheme val="minor"/>
    </font>
    <font>
      <b/>
      <sz val="10"/>
      <color indexed="8"/>
      <name val="Calibri"/>
      <family val="2"/>
      <scheme val="minor"/>
    </font>
    <font>
      <sz val="10"/>
      <color indexed="8"/>
      <name val="Calibri"/>
      <family val="2"/>
      <scheme val="minor"/>
    </font>
    <font>
      <b/>
      <sz val="10"/>
      <color indexed="50"/>
      <name val="Calibri"/>
      <family val="2"/>
      <scheme val="minor"/>
    </font>
    <font>
      <sz val="10"/>
      <name val="Calibri"/>
      <family val="2"/>
      <scheme val="minor"/>
    </font>
    <font>
      <b/>
      <sz val="10"/>
      <color theme="1"/>
      <name val="Calibri"/>
      <family val="2"/>
      <scheme val="minor"/>
    </font>
    <font>
      <b/>
      <u/>
      <sz val="10"/>
      <color indexed="8"/>
      <name val="Calibri"/>
      <family val="2"/>
      <scheme val="minor"/>
    </font>
    <font>
      <b/>
      <sz val="10"/>
      <name val="Calibri"/>
      <family val="2"/>
      <scheme val="minor"/>
    </font>
    <font>
      <sz val="10"/>
      <color rgb="FFFF0000"/>
      <name val="Calibri"/>
      <family val="2"/>
      <scheme val="minor"/>
    </font>
    <font>
      <sz val="9"/>
      <color rgb="FFFF0000"/>
      <name val="Calibri"/>
      <family val="2"/>
      <scheme val="minor"/>
    </font>
    <font>
      <sz val="9"/>
      <color rgb="FFFF0000"/>
      <name val="Calibri"/>
      <family val="2"/>
    </font>
    <font>
      <sz val="10"/>
      <color rgb="FF3366FF"/>
      <name val="Calibri"/>
      <family val="2"/>
      <scheme val="minor"/>
    </font>
    <font>
      <sz val="10"/>
      <color indexed="8"/>
      <name val="Arial"/>
      <family val="2"/>
    </font>
    <font>
      <sz val="9"/>
      <color indexed="81"/>
      <name val="Tahoma"/>
      <family val="2"/>
    </font>
    <font>
      <b/>
      <sz val="9"/>
      <color indexed="81"/>
      <name val="Tahoma"/>
      <family val="2"/>
    </font>
    <font>
      <sz val="12"/>
      <name val="Arial"/>
      <family val="2"/>
    </font>
    <font>
      <sz val="11"/>
      <name val="Calibri"/>
      <family val="2"/>
      <scheme val="minor"/>
    </font>
    <font>
      <b/>
      <sz val="11"/>
      <color rgb="FFFF0000"/>
      <name val="Calibri"/>
      <family val="2"/>
      <scheme val="minor"/>
    </font>
    <font>
      <sz val="10"/>
      <color indexed="8"/>
      <name val="Arial"/>
      <family val="2"/>
    </font>
    <font>
      <sz val="11"/>
      <color rgb="FF339933"/>
      <name val="Calibri"/>
      <family val="2"/>
      <scheme val="minor"/>
    </font>
    <font>
      <sz val="10"/>
      <name val="Arial"/>
      <family val="2"/>
    </font>
    <font>
      <sz val="10"/>
      <color indexed="8"/>
      <name val="Arial"/>
      <family val="2"/>
    </font>
    <font>
      <sz val="10"/>
      <name val="Arial"/>
      <family val="2"/>
    </font>
    <font>
      <b/>
      <sz val="11"/>
      <color theme="1"/>
      <name val="Arial"/>
      <family val="2"/>
    </font>
    <font>
      <sz val="11"/>
      <color theme="1"/>
      <name val="Arial"/>
      <family val="2"/>
    </font>
    <font>
      <sz val="10"/>
      <name val="Arial"/>
      <family val="2"/>
    </font>
    <font>
      <sz val="10"/>
      <name val="Arial"/>
      <family val="2"/>
    </font>
    <font>
      <sz val="10"/>
      <color indexed="8"/>
      <name val="Arial"/>
      <family val="2"/>
    </font>
    <font>
      <sz val="11"/>
      <color rgb="FF000000"/>
      <name val="Calibri"/>
      <family val="2"/>
      <scheme val="minor"/>
    </font>
    <font>
      <sz val="11"/>
      <color rgb="FFFF0000"/>
      <name val="Calibri"/>
      <family val="2"/>
      <scheme val="minor"/>
    </font>
    <font>
      <sz val="8"/>
      <name val="Calibri"/>
      <family val="2"/>
      <scheme val="minor"/>
    </font>
    <font>
      <b/>
      <sz val="9"/>
      <color theme="1"/>
      <name val="Calibri"/>
      <family val="2"/>
    </font>
    <font>
      <i/>
      <sz val="11"/>
      <color theme="1"/>
      <name val="Calibri"/>
      <family val="2"/>
      <scheme val="minor"/>
    </font>
    <font>
      <sz val="9"/>
      <color indexed="81"/>
      <name val="Tahoma"/>
      <charset val="1"/>
    </font>
    <font>
      <b/>
      <sz val="9"/>
      <color indexed="81"/>
      <name val="Tahoma"/>
      <charset val="1"/>
    </font>
    <font>
      <sz val="10"/>
      <name val="Arial"/>
    </font>
  </fonts>
  <fills count="34">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FF99"/>
        <bgColor indexed="64"/>
      </patternFill>
    </fill>
    <fill>
      <patternFill patternType="solid">
        <fgColor rgb="FFFFFF99"/>
        <bgColor indexed="64"/>
      </patternFill>
    </fill>
    <fill>
      <patternFill patternType="solid">
        <fgColor rgb="FF99FF66"/>
        <bgColor indexed="64"/>
      </patternFill>
    </fill>
    <fill>
      <patternFill patternType="solid">
        <fgColor indexed="9"/>
        <bgColor indexed="8"/>
      </patternFill>
    </fill>
    <fill>
      <patternFill patternType="solid">
        <fgColor theme="4"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6" tint="0.39997558519241921"/>
        <bgColor indexed="64"/>
      </patternFill>
    </fill>
  </fills>
  <borders count="19">
    <border>
      <left/>
      <right/>
      <top/>
      <bottom/>
      <diagonal/>
    </border>
    <border>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4"/>
      </top>
      <bottom style="double">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84">
    <xf numFmtId="0" fontId="0" fillId="0" borderId="0"/>
    <xf numFmtId="43" fontId="8" fillId="0" borderId="0" applyFont="0" applyFill="0" applyBorder="0" applyAlignment="0" applyProtection="0"/>
    <xf numFmtId="44" fontId="8" fillId="0" borderId="0" applyFont="0" applyFill="0" applyBorder="0" applyAlignment="0" applyProtection="0"/>
    <xf numFmtId="0" fontId="2"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41" fontId="8" fillId="0" borderId="0"/>
    <xf numFmtId="0" fontId="11" fillId="10" borderId="0" applyNumberFormat="0" applyBorder="0" applyAlignment="0" applyProtection="0"/>
    <xf numFmtId="3" fontId="8" fillId="0" borderId="0"/>
    <xf numFmtId="0" fontId="12" fillId="11" borderId="3"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 fontId="13" fillId="0" borderId="0"/>
    <xf numFmtId="0" fontId="14" fillId="0" borderId="0"/>
    <xf numFmtId="0" fontId="14" fillId="0" borderId="0"/>
    <xf numFmtId="0" fontId="15" fillId="12" borderId="4" applyAlignment="0">
      <alignment horizontal="right"/>
      <protection locked="0"/>
    </xf>
    <xf numFmtId="44" fontId="16"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7" fillId="13" borderId="0">
      <alignment horizontal="right"/>
      <protection locked="0"/>
    </xf>
    <xf numFmtId="2" fontId="17" fillId="13" borderId="0">
      <alignment horizontal="right"/>
      <protection locked="0"/>
    </xf>
    <xf numFmtId="0" fontId="18" fillId="1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3" fontId="24" fillId="15" borderId="0">
      <protection locked="0"/>
    </xf>
    <xf numFmtId="4" fontId="24" fillId="15" borderId="0">
      <protection locked="0"/>
    </xf>
    <xf numFmtId="0" fontId="25" fillId="0" borderId="8" applyNumberFormat="0" applyFill="0" applyAlignment="0" applyProtection="0"/>
    <xf numFmtId="0" fontId="26" fillId="4" borderId="0" applyNumberFormat="0" applyBorder="0" applyAlignment="0" applyProtection="0"/>
    <xf numFmtId="43" fontId="8"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16" borderId="9" applyNumberFormat="0" applyFont="0" applyAlignment="0" applyProtection="0"/>
    <xf numFmtId="164" fontId="29" fillId="0" borderId="0" applyNumberFormat="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164" fontId="8" fillId="0" borderId="0" applyFont="0" applyFill="0" applyBorder="0" applyAlignment="0" applyProtection="0"/>
    <xf numFmtId="10" fontId="8" fillId="0" borderId="0" applyFont="0" applyFill="0" applyBorder="0" applyAlignment="0" applyProtection="0"/>
    <xf numFmtId="0" fontId="8" fillId="0" borderId="0"/>
    <xf numFmtId="0" fontId="28" fillId="0" borderId="0" applyNumberFormat="0" applyFont="0" applyFill="0" applyBorder="0" applyAlignment="0" applyProtection="0">
      <alignment horizontal="left"/>
    </xf>
    <xf numFmtId="0" fontId="30" fillId="0" borderId="2">
      <alignment horizontal="center"/>
    </xf>
    <xf numFmtId="0" fontId="13" fillId="0" borderId="0">
      <alignment vertical="top"/>
    </xf>
    <xf numFmtId="0" fontId="13" fillId="0" borderId="0" applyNumberFormat="0" applyBorder="0" applyAlignment="0"/>
    <xf numFmtId="0" fontId="31" fillId="0" borderId="10" applyNumberFormat="0" applyFill="0" applyAlignment="0" applyProtection="0"/>
    <xf numFmtId="0" fontId="13" fillId="0" borderId="0">
      <alignment vertical="top"/>
    </xf>
    <xf numFmtId="0" fontId="52" fillId="0" borderId="0">
      <alignment vertical="top"/>
    </xf>
    <xf numFmtId="9" fontId="1"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58" fillId="0" borderId="0">
      <alignment vertical="top"/>
    </xf>
    <xf numFmtId="0" fontId="60" fillId="0" borderId="0"/>
    <xf numFmtId="0" fontId="60" fillId="0" borderId="0"/>
    <xf numFmtId="0" fontId="60" fillId="0" borderId="0"/>
    <xf numFmtId="0" fontId="6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alignment vertical="top"/>
    </xf>
    <xf numFmtId="0" fontId="61" fillId="0" borderId="0">
      <alignment vertical="top"/>
    </xf>
    <xf numFmtId="0" fontId="62" fillId="0" borderId="0">
      <alignment wrapText="1"/>
    </xf>
    <xf numFmtId="0" fontId="8" fillId="0" borderId="0"/>
    <xf numFmtId="0" fontId="1" fillId="0" borderId="0"/>
    <xf numFmtId="0" fontId="1" fillId="0" borderId="0"/>
    <xf numFmtId="44" fontId="8" fillId="0" borderId="0" applyFont="0" applyFill="0" applyBorder="0" applyAlignment="0" applyProtection="0"/>
    <xf numFmtId="43" fontId="1" fillId="0" borderId="0" applyFont="0" applyFill="0" applyBorder="0" applyAlignment="0" applyProtection="0"/>
    <xf numFmtId="0" fontId="1" fillId="0" borderId="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8" fillId="0" borderId="0"/>
    <xf numFmtId="43" fontId="2" fillId="0" borderId="0" applyFont="0" applyFill="0" applyBorder="0" applyAlignment="0" applyProtection="0"/>
    <xf numFmtId="0" fontId="64" fillId="0" borderId="0"/>
    <xf numFmtId="43" fontId="2" fillId="0" borderId="0" applyFont="0" applyFill="0" applyBorder="0" applyAlignment="0" applyProtection="0"/>
    <xf numFmtId="9" fontId="64" fillId="0" borderId="0" applyFont="0" applyFill="0" applyBorder="0" applyAlignment="0" applyProtection="0"/>
    <xf numFmtId="0" fontId="8" fillId="0" borderId="0"/>
    <xf numFmtId="0" fontId="8" fillId="0" borderId="0">
      <alignment wrapText="1"/>
    </xf>
    <xf numFmtId="2" fontId="55" fillId="26" borderId="0"/>
    <xf numFmtId="0" fontId="55" fillId="11" borderId="0"/>
    <xf numFmtId="9" fontId="1" fillId="0" borderId="0" applyFont="0" applyFill="0" applyBorder="0" applyAlignment="0" applyProtection="0"/>
    <xf numFmtId="0" fontId="65" fillId="0" borderId="0">
      <alignment wrapText="1"/>
    </xf>
    <xf numFmtId="0" fontId="65" fillId="0" borderId="0">
      <alignment wrapText="1"/>
    </xf>
    <xf numFmtId="0" fontId="66" fillId="0" borderId="0">
      <alignment wrapText="1"/>
    </xf>
    <xf numFmtId="0" fontId="8" fillId="0" borderId="0">
      <alignment wrapText="1"/>
    </xf>
    <xf numFmtId="44" fontId="1" fillId="0" borderId="0" applyFont="0" applyFill="0" applyBorder="0" applyAlignment="0" applyProtection="0"/>
    <xf numFmtId="43" fontId="8" fillId="0" borderId="0" applyFont="0" applyFill="0" applyBorder="0" applyAlignment="0" applyProtection="0"/>
    <xf numFmtId="0" fontId="13" fillId="0" borderId="0">
      <alignment vertical="top"/>
    </xf>
    <xf numFmtId="0" fontId="8" fillId="0" borderId="0"/>
    <xf numFmtId="0" fontId="8" fillId="0" borderId="0"/>
    <xf numFmtId="0" fontId="8" fillId="0" borderId="0"/>
    <xf numFmtId="0" fontId="8" fillId="0" borderId="0"/>
    <xf numFmtId="0" fontId="13" fillId="0" borderId="0">
      <alignment vertical="top"/>
    </xf>
    <xf numFmtId="0" fontId="8" fillId="0" borderId="0">
      <alignment wrapText="1"/>
    </xf>
    <xf numFmtId="0" fontId="8" fillId="0" borderId="0">
      <alignment wrapText="1"/>
    </xf>
    <xf numFmtId="0" fontId="8" fillId="0" borderId="0">
      <alignment wrapText="1"/>
    </xf>
    <xf numFmtId="0" fontId="67" fillId="0" borderId="0">
      <alignment vertical="top"/>
    </xf>
    <xf numFmtId="0" fontId="68" fillId="0" borderId="0"/>
    <xf numFmtId="0" fontId="8" fillId="0" borderId="0">
      <alignment wrapText="1"/>
    </xf>
    <xf numFmtId="0" fontId="13" fillId="0" borderId="0">
      <alignment vertical="top"/>
    </xf>
    <xf numFmtId="0" fontId="8" fillId="0" borderId="0">
      <alignment wrapText="1"/>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cellStyleXfs>
  <cellXfs count="310">
    <xf numFmtId="0" fontId="0" fillId="0" borderId="0" xfId="0"/>
    <xf numFmtId="0" fontId="3" fillId="0" borderId="0" xfId="3" applyFont="1"/>
    <xf numFmtId="0" fontId="4" fillId="0" borderId="0" xfId="3" applyFont="1"/>
    <xf numFmtId="0" fontId="3" fillId="0" borderId="0" xfId="3" applyFont="1" applyAlignment="1">
      <alignment horizontal="center"/>
    </xf>
    <xf numFmtId="2" fontId="3" fillId="0" borderId="0" xfId="3" applyNumberFormat="1" applyFont="1"/>
    <xf numFmtId="0" fontId="4" fillId="0" borderId="0" xfId="3" applyFont="1" applyAlignment="1">
      <alignment horizontal="center" wrapText="1"/>
    </xf>
    <xf numFmtId="0" fontId="4" fillId="0" borderId="0" xfId="3" applyFont="1" applyAlignment="1">
      <alignment horizontal="center"/>
    </xf>
    <xf numFmtId="0" fontId="5" fillId="0" borderId="0" xfId="3" applyFont="1" applyAlignment="1">
      <alignment horizontal="left"/>
    </xf>
    <xf numFmtId="0" fontId="6" fillId="0" borderId="0" xfId="3" applyFont="1" applyAlignment="1">
      <alignment horizontal="center"/>
    </xf>
    <xf numFmtId="0" fontId="5" fillId="0" borderId="0" xfId="3" applyFont="1" applyAlignment="1">
      <alignment horizontal="center"/>
    </xf>
    <xf numFmtId="0" fontId="3" fillId="0" borderId="0" xfId="4" applyFont="1"/>
    <xf numFmtId="43" fontId="3" fillId="0" borderId="0" xfId="1" applyFont="1" applyFill="1" applyAlignment="1">
      <alignment horizontal="center"/>
    </xf>
    <xf numFmtId="43" fontId="3" fillId="0" borderId="0" xfId="1" applyFont="1" applyFill="1"/>
    <xf numFmtId="165" fontId="3" fillId="0" borderId="0" xfId="1" applyNumberFormat="1" applyFont="1" applyFill="1"/>
    <xf numFmtId="43" fontId="3" fillId="0" borderId="0" xfId="3" applyNumberFormat="1" applyFont="1"/>
    <xf numFmtId="165" fontId="3" fillId="0" borderId="0" xfId="3" applyNumberFormat="1" applyFont="1"/>
    <xf numFmtId="43" fontId="3" fillId="0" borderId="0" xfId="1" applyFont="1"/>
    <xf numFmtId="0" fontId="4" fillId="0" borderId="0" xfId="3" applyFont="1" applyAlignment="1">
      <alignment horizontal="right"/>
    </xf>
    <xf numFmtId="44" fontId="9" fillId="0" borderId="0" xfId="2" applyFont="1" applyFill="1" applyBorder="1"/>
    <xf numFmtId="4" fontId="3" fillId="0" borderId="0" xfId="1" applyNumberFormat="1" applyFont="1" applyFill="1"/>
    <xf numFmtId="43" fontId="9" fillId="0" borderId="0" xfId="1" applyFont="1" applyFill="1" applyBorder="1"/>
    <xf numFmtId="43" fontId="6" fillId="0" borderId="0" xfId="1" applyFont="1" applyFill="1" applyAlignment="1">
      <alignment horizontal="center"/>
    </xf>
    <xf numFmtId="43" fontId="6" fillId="0" borderId="0" xfId="3" applyNumberFormat="1" applyFont="1" applyAlignment="1">
      <alignment horizontal="center"/>
    </xf>
    <xf numFmtId="44" fontId="32" fillId="0" borderId="1" xfId="2" applyFont="1" applyFill="1" applyBorder="1"/>
    <xf numFmtId="44" fontId="4" fillId="0" borderId="11" xfId="3" applyNumberFormat="1" applyFont="1" applyBorder="1"/>
    <xf numFmtId="165" fontId="3" fillId="0" borderId="0" xfId="1" applyNumberFormat="1" applyFont="1"/>
    <xf numFmtId="0" fontId="34" fillId="0" borderId="0" xfId="3" applyFont="1"/>
    <xf numFmtId="0" fontId="36" fillId="0" borderId="0" xfId="3" applyFont="1" applyAlignment="1">
      <alignment horizontal="left"/>
    </xf>
    <xf numFmtId="0" fontId="36" fillId="0" borderId="0" xfId="3" applyFont="1" applyAlignment="1">
      <alignment horizontal="center"/>
    </xf>
    <xf numFmtId="0" fontId="35" fillId="0" borderId="0" xfId="3" applyFont="1" applyAlignment="1">
      <alignment horizontal="left"/>
    </xf>
    <xf numFmtId="0" fontId="37" fillId="0" borderId="0" xfId="0" applyFont="1"/>
    <xf numFmtId="0" fontId="35" fillId="0" borderId="0" xfId="3" applyFont="1" applyAlignment="1">
      <alignment horizontal="right"/>
    </xf>
    <xf numFmtId="0" fontId="35" fillId="0" borderId="0" xfId="3" applyFont="1"/>
    <xf numFmtId="0" fontId="33" fillId="0" borderId="0" xfId="0" applyFont="1"/>
    <xf numFmtId="0" fontId="4" fillId="18" borderId="0" xfId="3" applyFont="1" applyFill="1" applyAlignment="1">
      <alignment horizontal="center"/>
    </xf>
    <xf numFmtId="14" fontId="4" fillId="18" borderId="0" xfId="3" applyNumberFormat="1" applyFont="1" applyFill="1" applyAlignment="1">
      <alignment horizontal="center" wrapText="1"/>
    </xf>
    <xf numFmtId="17" fontId="4" fillId="17" borderId="0" xfId="3" applyNumberFormat="1" applyFont="1" applyFill="1" applyAlignment="1">
      <alignment horizontal="center"/>
    </xf>
    <xf numFmtId="0" fontId="4" fillId="17" borderId="0" xfId="3" applyFont="1" applyFill="1" applyAlignment="1">
      <alignment horizontal="center" wrapText="1"/>
    </xf>
    <xf numFmtId="17" fontId="4" fillId="19" borderId="0" xfId="3" applyNumberFormat="1" applyFont="1" applyFill="1" applyAlignment="1">
      <alignment horizontal="center"/>
    </xf>
    <xf numFmtId="0" fontId="4" fillId="19" borderId="0" xfId="3" applyFont="1" applyFill="1" applyAlignment="1">
      <alignment horizontal="center" wrapText="1"/>
    </xf>
    <xf numFmtId="0" fontId="40" fillId="0" borderId="0" xfId="0" applyFont="1"/>
    <xf numFmtId="44" fontId="32" fillId="0" borderId="0" xfId="2" applyFont="1" applyFill="1" applyBorder="1"/>
    <xf numFmtId="0" fontId="41" fillId="0" borderId="0" xfId="3" applyFont="1" applyAlignment="1">
      <alignment horizontal="left"/>
    </xf>
    <xf numFmtId="43" fontId="42" fillId="0" borderId="0" xfId="1" applyFont="1" applyAlignment="1">
      <alignment horizontal="center"/>
    </xf>
    <xf numFmtId="0" fontId="43" fillId="0" borderId="0" xfId="3" applyFont="1" applyAlignment="1">
      <alignment horizontal="center"/>
    </xf>
    <xf numFmtId="0" fontId="42" fillId="0" borderId="0" xfId="3" applyFont="1"/>
    <xf numFmtId="43" fontId="42" fillId="0" borderId="0" xfId="1" applyFont="1" applyFill="1"/>
    <xf numFmtId="165" fontId="40" fillId="0" borderId="0" xfId="0" applyNumberFormat="1" applyFont="1"/>
    <xf numFmtId="165" fontId="42" fillId="0" borderId="0" xfId="1" applyNumberFormat="1" applyFont="1"/>
    <xf numFmtId="165" fontId="42" fillId="0" borderId="0" xfId="1" applyNumberFormat="1" applyFont="1" applyFill="1"/>
    <xf numFmtId="43" fontId="40" fillId="0" borderId="0" xfId="0" applyNumberFormat="1" applyFont="1"/>
    <xf numFmtId="44" fontId="44" fillId="0" borderId="0" xfId="53" applyFont="1" applyFill="1" applyBorder="1"/>
    <xf numFmtId="0" fontId="41" fillId="0" borderId="0" xfId="3" applyFont="1" applyAlignment="1">
      <alignment horizontal="right"/>
    </xf>
    <xf numFmtId="0" fontId="42" fillId="0" borderId="0" xfId="3" applyFont="1" applyAlignment="1">
      <alignment horizontal="center"/>
    </xf>
    <xf numFmtId="167" fontId="41" fillId="0" borderId="0" xfId="53" applyNumberFormat="1" applyFont="1" applyFill="1" applyBorder="1"/>
    <xf numFmtId="43" fontId="42" fillId="0" borderId="0" xfId="1" applyFont="1" applyFill="1" applyAlignment="1">
      <alignment horizontal="center"/>
    </xf>
    <xf numFmtId="43" fontId="0" fillId="0" borderId="0" xfId="1" applyFont="1"/>
    <xf numFmtId="0" fontId="45" fillId="0" borderId="0" xfId="0" applyFont="1"/>
    <xf numFmtId="0" fontId="44" fillId="0" borderId="0" xfId="0" applyFont="1"/>
    <xf numFmtId="0" fontId="5" fillId="0" borderId="0" xfId="3" applyFont="1"/>
    <xf numFmtId="0" fontId="42" fillId="0" borderId="0" xfId="0" applyFont="1" applyAlignment="1">
      <alignment vertical="top"/>
    </xf>
    <xf numFmtId="49" fontId="44" fillId="0" borderId="0" xfId="0" applyNumberFormat="1" applyFont="1"/>
    <xf numFmtId="0" fontId="41" fillId="0" borderId="0" xfId="3" applyFont="1"/>
    <xf numFmtId="2" fontId="42" fillId="0" borderId="0" xfId="3" applyNumberFormat="1" applyFont="1"/>
    <xf numFmtId="0" fontId="41" fillId="0" borderId="0" xfId="3" applyFont="1" applyAlignment="1">
      <alignment horizontal="center" wrapText="1"/>
    </xf>
    <xf numFmtId="0" fontId="41" fillId="18" borderId="0" xfId="3" applyFont="1" applyFill="1" applyAlignment="1">
      <alignment horizontal="center"/>
    </xf>
    <xf numFmtId="0" fontId="41" fillId="17" borderId="0" xfId="3" applyFont="1" applyFill="1" applyAlignment="1">
      <alignment horizontal="center" wrapText="1"/>
    </xf>
    <xf numFmtId="0" fontId="41" fillId="0" borderId="0" xfId="3" applyFont="1" applyAlignment="1">
      <alignment horizontal="center"/>
    </xf>
    <xf numFmtId="14" fontId="41" fillId="18" borderId="0" xfId="3" applyNumberFormat="1" applyFont="1" applyFill="1" applyAlignment="1">
      <alignment horizontal="center" wrapText="1"/>
    </xf>
    <xf numFmtId="0" fontId="41" fillId="19" borderId="0" xfId="3" applyFont="1" applyFill="1" applyAlignment="1">
      <alignment horizontal="center" wrapText="1"/>
    </xf>
    <xf numFmtId="0" fontId="46" fillId="0" borderId="0" xfId="3" applyFont="1" applyAlignment="1">
      <alignment horizontal="left"/>
    </xf>
    <xf numFmtId="0" fontId="46" fillId="0" borderId="0" xfId="3" applyFont="1" applyAlignment="1">
      <alignment horizontal="center"/>
    </xf>
    <xf numFmtId="43" fontId="42" fillId="0" borderId="0" xfId="1" applyFont="1"/>
    <xf numFmtId="43" fontId="42" fillId="0" borderId="0" xfId="3" applyNumberFormat="1" applyFont="1"/>
    <xf numFmtId="44" fontId="47" fillId="0" borderId="1" xfId="2" applyFont="1" applyFill="1" applyBorder="1"/>
    <xf numFmtId="44" fontId="44" fillId="0" borderId="0" xfId="2" applyFont="1" applyFill="1" applyBorder="1"/>
    <xf numFmtId="43" fontId="44" fillId="0" borderId="0" xfId="1" applyFont="1" applyFill="1" applyBorder="1"/>
    <xf numFmtId="43" fontId="43" fillId="0" borderId="0" xfId="1" applyFont="1" applyFill="1" applyAlignment="1">
      <alignment horizontal="center"/>
    </xf>
    <xf numFmtId="43" fontId="43" fillId="0" borderId="0" xfId="3" applyNumberFormat="1" applyFont="1" applyAlignment="1">
      <alignment horizontal="center"/>
    </xf>
    <xf numFmtId="44" fontId="47" fillId="0" borderId="0" xfId="2" applyFont="1" applyFill="1" applyBorder="1"/>
    <xf numFmtId="44" fontId="41" fillId="0" borderId="11" xfId="3" applyNumberFormat="1" applyFont="1" applyBorder="1"/>
    <xf numFmtId="43" fontId="40" fillId="0" borderId="0" xfId="1" applyFont="1"/>
    <xf numFmtId="0" fontId="48" fillId="0" borderId="0" xfId="0" applyFont="1"/>
    <xf numFmtId="43" fontId="48" fillId="0" borderId="0" xfId="1" applyFont="1" applyFill="1" applyAlignment="1">
      <alignment horizontal="center"/>
    </xf>
    <xf numFmtId="0" fontId="50" fillId="0" borderId="0" xfId="3" applyFont="1"/>
    <xf numFmtId="43" fontId="51" fillId="0" borderId="0" xfId="1" applyFont="1" applyFill="1" applyAlignment="1">
      <alignment horizontal="center"/>
    </xf>
    <xf numFmtId="0" fontId="51" fillId="0" borderId="0" xfId="3" applyFont="1"/>
    <xf numFmtId="44" fontId="0" fillId="0" borderId="0" xfId="0" applyNumberFormat="1"/>
    <xf numFmtId="43" fontId="0" fillId="0" borderId="0" xfId="0" applyNumberFormat="1"/>
    <xf numFmtId="0" fontId="0" fillId="0" borderId="0" xfId="0" applyAlignment="1">
      <alignment horizontal="left"/>
    </xf>
    <xf numFmtId="43" fontId="4" fillId="0" borderId="0" xfId="1" applyFont="1" applyFill="1" applyAlignment="1">
      <alignment horizontal="center"/>
    </xf>
    <xf numFmtId="17" fontId="4" fillId="17" borderId="0" xfId="3" quotePrefix="1" applyNumberFormat="1" applyFont="1" applyFill="1" applyAlignment="1">
      <alignment horizontal="center"/>
    </xf>
    <xf numFmtId="17" fontId="4" fillId="19" borderId="0" xfId="3" quotePrefix="1" applyNumberFormat="1" applyFont="1" applyFill="1" applyAlignment="1">
      <alignment horizontal="center"/>
    </xf>
    <xf numFmtId="0" fontId="0" fillId="0" borderId="0" xfId="0" applyAlignment="1">
      <alignment horizontal="left" indent="1"/>
    </xf>
    <xf numFmtId="165" fontId="0" fillId="0" borderId="0" xfId="0" applyNumberFormat="1"/>
    <xf numFmtId="44" fontId="3" fillId="0" borderId="0" xfId="3" applyNumberFormat="1" applyFont="1"/>
    <xf numFmtId="0" fontId="3" fillId="0" borderId="0" xfId="3" applyFont="1" applyAlignment="1">
      <alignment horizontal="right"/>
    </xf>
    <xf numFmtId="43" fontId="47" fillId="0" borderId="1" xfId="1" applyFont="1" applyFill="1" applyBorder="1"/>
    <xf numFmtId="43" fontId="47" fillId="0" borderId="0" xfId="1" applyFont="1" applyFill="1" applyBorder="1"/>
    <xf numFmtId="44" fontId="40" fillId="0" borderId="0" xfId="0" applyNumberFormat="1" applyFont="1"/>
    <xf numFmtId="44" fontId="40" fillId="0" borderId="0" xfId="2" applyFont="1"/>
    <xf numFmtId="43" fontId="50" fillId="0" borderId="0" xfId="1" applyFont="1" applyFill="1"/>
    <xf numFmtId="10" fontId="0" fillId="0" borderId="0" xfId="124" applyNumberFormat="1" applyFont="1"/>
    <xf numFmtId="43" fontId="4" fillId="0" borderId="11" xfId="3" applyNumberFormat="1" applyFont="1" applyBorder="1"/>
    <xf numFmtId="44" fontId="42" fillId="0" borderId="0" xfId="2" applyFont="1" applyFill="1"/>
    <xf numFmtId="44" fontId="42" fillId="0" borderId="0" xfId="2" applyFont="1"/>
    <xf numFmtId="43" fontId="41" fillId="0" borderId="0" xfId="1" applyFont="1" applyFill="1" applyBorder="1"/>
    <xf numFmtId="43" fontId="4" fillId="0" borderId="11" xfId="1" applyFont="1" applyFill="1" applyBorder="1"/>
    <xf numFmtId="43" fontId="4" fillId="0" borderId="0" xfId="1" applyFont="1"/>
    <xf numFmtId="0" fontId="0" fillId="0" borderId="0" xfId="0" quotePrefix="1"/>
    <xf numFmtId="43" fontId="40" fillId="0" borderId="0" xfId="1" applyFont="1" applyFill="1"/>
    <xf numFmtId="0" fontId="41" fillId="17" borderId="0" xfId="3" quotePrefix="1" applyFont="1" applyFill="1" applyAlignment="1">
      <alignment horizontal="center" wrapText="1"/>
    </xf>
    <xf numFmtId="0" fontId="4" fillId="17" borderId="0" xfId="3" quotePrefix="1" applyFont="1" applyFill="1" applyAlignment="1">
      <alignment horizontal="center" wrapText="1"/>
    </xf>
    <xf numFmtId="0" fontId="3" fillId="23" borderId="0" xfId="3" applyFont="1" applyFill="1" applyAlignment="1">
      <alignment horizontal="center"/>
    </xf>
    <xf numFmtId="0" fontId="6" fillId="23" borderId="0" xfId="3" applyFont="1" applyFill="1" applyAlignment="1">
      <alignment horizontal="center"/>
    </xf>
    <xf numFmtId="43" fontId="3" fillId="23" borderId="0" xfId="3" applyNumberFormat="1" applyFont="1" applyFill="1"/>
    <xf numFmtId="167" fontId="0" fillId="0" borderId="0" xfId="2" applyNumberFormat="1" applyFont="1"/>
    <xf numFmtId="0" fontId="33" fillId="0" borderId="15" xfId="0" applyFont="1" applyBorder="1" applyAlignment="1">
      <alignment horizontal="left"/>
    </xf>
    <xf numFmtId="0" fontId="33" fillId="0" borderId="0" xfId="0" applyFont="1" applyAlignment="1">
      <alignment horizontal="left"/>
    </xf>
    <xf numFmtId="167" fontId="0" fillId="0" borderId="4" xfId="2" applyNumberFormat="1" applyFont="1" applyBorder="1"/>
    <xf numFmtId="0" fontId="0" fillId="0" borderId="4" xfId="0" applyBorder="1"/>
    <xf numFmtId="0" fontId="0" fillId="0" borderId="4" xfId="0" quotePrefix="1" applyBorder="1" applyAlignment="1">
      <alignment horizontal="left"/>
    </xf>
    <xf numFmtId="0" fontId="0" fillId="23" borderId="0" xfId="0" applyFill="1"/>
    <xf numFmtId="0" fontId="33" fillId="23" borderId="4" xfId="0" applyFont="1" applyFill="1" applyBorder="1" applyAlignment="1">
      <alignment horizontal="center" wrapText="1"/>
    </xf>
    <xf numFmtId="0" fontId="33" fillId="23" borderId="0" xfId="0" applyFont="1" applyFill="1" applyAlignment="1">
      <alignment horizontal="center" wrapText="1"/>
    </xf>
    <xf numFmtId="0" fontId="33" fillId="23" borderId="4" xfId="0" applyFont="1" applyFill="1" applyBorder="1"/>
    <xf numFmtId="0" fontId="0" fillId="23" borderId="0" xfId="0" applyFill="1" applyAlignment="1">
      <alignment horizontal="right"/>
    </xf>
    <xf numFmtId="165" fontId="0" fillId="23" borderId="0" xfId="1" applyNumberFormat="1" applyFont="1" applyFill="1"/>
    <xf numFmtId="165" fontId="0" fillId="23" borderId="0" xfId="0" applyNumberFormat="1" applyFill="1"/>
    <xf numFmtId="165" fontId="0" fillId="23" borderId="0" xfId="1" applyNumberFormat="1" applyFont="1" applyFill="1" applyBorder="1"/>
    <xf numFmtId="165" fontId="0" fillId="23" borderId="4" xfId="1" applyNumberFormat="1" applyFont="1" applyFill="1" applyBorder="1"/>
    <xf numFmtId="165" fontId="0" fillId="23" borderId="4" xfId="0" applyNumberFormat="1" applyFill="1" applyBorder="1"/>
    <xf numFmtId="0" fontId="59" fillId="23" borderId="0" xfId="0" applyFont="1" applyFill="1" applyAlignment="1">
      <alignment horizontal="right"/>
    </xf>
    <xf numFmtId="165" fontId="1" fillId="23" borderId="0" xfId="1" applyNumberFormat="1" applyFont="1" applyFill="1"/>
    <xf numFmtId="165" fontId="42" fillId="0" borderId="0" xfId="3" applyNumberFormat="1" applyFont="1"/>
    <xf numFmtId="0" fontId="42" fillId="0" borderId="0" xfId="3" applyFont="1" applyAlignment="1">
      <alignment horizontal="right"/>
    </xf>
    <xf numFmtId="44" fontId="42" fillId="0" borderId="0" xfId="3" applyNumberFormat="1" applyFont="1"/>
    <xf numFmtId="165" fontId="0" fillId="24" borderId="0" xfId="1" applyNumberFormat="1" applyFont="1" applyFill="1"/>
    <xf numFmtId="165" fontId="0" fillId="24" borderId="4" xfId="1" applyNumberFormat="1" applyFont="1" applyFill="1" applyBorder="1"/>
    <xf numFmtId="165" fontId="0" fillId="24" borderId="0" xfId="1" applyNumberFormat="1" applyFont="1" applyFill="1" applyBorder="1"/>
    <xf numFmtId="0" fontId="0" fillId="0" borderId="0" xfId="0" applyAlignment="1">
      <alignment horizontal="left" wrapText="1"/>
    </xf>
    <xf numFmtId="43" fontId="3" fillId="23" borderId="0" xfId="1" applyFont="1" applyFill="1"/>
    <xf numFmtId="43" fontId="42" fillId="23" borderId="0" xfId="1" applyFont="1" applyFill="1"/>
    <xf numFmtId="43" fontId="40" fillId="23" borderId="0" xfId="1" applyFont="1" applyFill="1"/>
    <xf numFmtId="44" fontId="33" fillId="23" borderId="12" xfId="2" applyFont="1" applyFill="1" applyBorder="1"/>
    <xf numFmtId="167" fontId="0" fillId="23" borderId="0" xfId="2" applyNumberFormat="1" applyFont="1" applyFill="1"/>
    <xf numFmtId="44" fontId="47" fillId="25" borderId="1" xfId="2" applyFont="1" applyFill="1" applyBorder="1"/>
    <xf numFmtId="43" fontId="32" fillId="25" borderId="1" xfId="1" applyFont="1" applyFill="1" applyBorder="1"/>
    <xf numFmtId="0" fontId="33" fillId="0" borderId="0" xfId="0" applyFont="1" applyAlignment="1">
      <alignment horizontal="left" indent="1"/>
    </xf>
    <xf numFmtId="0" fontId="0" fillId="0" borderId="0" xfId="0" quotePrefix="1" applyAlignment="1">
      <alignment horizontal="right"/>
    </xf>
    <xf numFmtId="0" fontId="0" fillId="0" borderId="0" xfId="0" applyAlignment="1">
      <alignment horizontal="right"/>
    </xf>
    <xf numFmtId="165" fontId="0" fillId="0" borderId="0" xfId="0" applyNumberFormat="1" applyAlignment="1">
      <alignment horizontal="right"/>
    </xf>
    <xf numFmtId="44" fontId="0" fillId="0" borderId="0" xfId="2" applyFont="1" applyBorder="1" applyAlignment="1">
      <alignment horizontal="left"/>
    </xf>
    <xf numFmtId="44" fontId="0" fillId="0" borderId="0" xfId="2" applyFont="1" applyBorder="1"/>
    <xf numFmtId="0" fontId="33" fillId="0" borderId="15" xfId="0" applyFont="1" applyBorder="1" applyAlignment="1">
      <alignment horizontal="left" indent="1"/>
    </xf>
    <xf numFmtId="0" fontId="0" fillId="25" borderId="0" xfId="0" applyFill="1" applyAlignment="1">
      <alignment horizontal="left"/>
    </xf>
    <xf numFmtId="165" fontId="33" fillId="0" borderId="0" xfId="163" applyNumberFormat="1" applyFont="1" applyAlignment="1"/>
    <xf numFmtId="165" fontId="1" fillId="0" borderId="0" xfId="163" applyNumberFormat="1" applyFont="1" applyAlignment="1">
      <alignment horizontal="right"/>
    </xf>
    <xf numFmtId="165" fontId="1" fillId="0" borderId="0" xfId="163" applyNumberFormat="1" applyFont="1"/>
    <xf numFmtId="165" fontId="33" fillId="0" borderId="0" xfId="163" applyNumberFormat="1" applyFont="1"/>
    <xf numFmtId="165" fontId="0" fillId="0" borderId="0" xfId="163" applyNumberFormat="1" applyFont="1"/>
    <xf numFmtId="165" fontId="1" fillId="0" borderId="0" xfId="163" applyNumberFormat="1" applyFont="1" applyFill="1"/>
    <xf numFmtId="165" fontId="33" fillId="0" borderId="0" xfId="163" applyNumberFormat="1" applyFont="1" applyFill="1"/>
    <xf numFmtId="165" fontId="0" fillId="0" borderId="0" xfId="163" applyNumberFormat="1" applyFont="1" applyFill="1"/>
    <xf numFmtId="165" fontId="33" fillId="0" borderId="0" xfId="163" applyNumberFormat="1" applyFont="1" applyAlignment="1">
      <alignment horizontal="center"/>
    </xf>
    <xf numFmtId="165" fontId="33" fillId="0" borderId="4" xfId="163" applyNumberFormat="1" applyFont="1" applyBorder="1" applyAlignment="1">
      <alignment horizontal="center"/>
    </xf>
    <xf numFmtId="165" fontId="63" fillId="0" borderId="0" xfId="163" applyNumberFormat="1" applyFont="1" applyAlignment="1">
      <alignment horizontal="center"/>
    </xf>
    <xf numFmtId="165" fontId="33" fillId="0" borderId="4" xfId="163" applyNumberFormat="1" applyFont="1" applyFill="1" applyBorder="1" applyAlignment="1">
      <alignment horizontal="center"/>
    </xf>
    <xf numFmtId="165" fontId="1" fillId="0" borderId="0" xfId="163" applyNumberFormat="1" applyFont="1" applyAlignment="1"/>
    <xf numFmtId="165" fontId="33" fillId="0" borderId="0" xfId="163" applyNumberFormat="1" applyFont="1" applyAlignment="1">
      <alignment horizontal="right"/>
    </xf>
    <xf numFmtId="165" fontId="1" fillId="0" borderId="16" xfId="163" applyNumberFormat="1" applyFont="1" applyBorder="1"/>
    <xf numFmtId="165" fontId="33" fillId="0" borderId="16" xfId="163" applyNumberFormat="1" applyFont="1" applyBorder="1"/>
    <xf numFmtId="165" fontId="1" fillId="0" borderId="16" xfId="163" applyNumberFormat="1" applyFont="1" applyFill="1" applyBorder="1"/>
    <xf numFmtId="165" fontId="1" fillId="0" borderId="0" xfId="163" applyNumberFormat="1" applyFont="1" applyBorder="1"/>
    <xf numFmtId="165" fontId="33" fillId="0" borderId="0" xfId="163" applyNumberFormat="1" applyFont="1" applyBorder="1"/>
    <xf numFmtId="165" fontId="1" fillId="0" borderId="0" xfId="163" applyNumberFormat="1" applyFont="1" applyFill="1" applyBorder="1"/>
    <xf numFmtId="165" fontId="33" fillId="0" borderId="11" xfId="163" applyNumberFormat="1" applyFont="1" applyBorder="1"/>
    <xf numFmtId="165" fontId="63" fillId="0" borderId="0" xfId="163" applyNumberFormat="1" applyFont="1"/>
    <xf numFmtId="0" fontId="3" fillId="21" borderId="0" xfId="3" applyFont="1" applyFill="1"/>
    <xf numFmtId="0" fontId="3" fillId="0" borderId="1" xfId="3" applyFont="1" applyBorder="1"/>
    <xf numFmtId="165" fontId="3" fillId="0" borderId="1" xfId="3" applyNumberFormat="1" applyFont="1" applyBorder="1"/>
    <xf numFmtId="165" fontId="3" fillId="23" borderId="1" xfId="3" applyNumberFormat="1" applyFont="1" applyFill="1" applyBorder="1"/>
    <xf numFmtId="165" fontId="3" fillId="0" borderId="1" xfId="1" applyNumberFormat="1" applyFont="1" applyBorder="1"/>
    <xf numFmtId="0" fontId="0" fillId="0" borderId="1" xfId="0" applyBorder="1"/>
    <xf numFmtId="0" fontId="42" fillId="0" borderId="1" xfId="3" applyFont="1" applyBorder="1"/>
    <xf numFmtId="165" fontId="42" fillId="0" borderId="1" xfId="3" applyNumberFormat="1" applyFont="1" applyBorder="1"/>
    <xf numFmtId="165" fontId="42" fillId="23" borderId="1" xfId="3" applyNumberFormat="1" applyFont="1" applyFill="1" applyBorder="1"/>
    <xf numFmtId="165" fontId="3" fillId="23" borderId="1" xfId="1" applyNumberFormat="1" applyFont="1" applyFill="1" applyBorder="1"/>
    <xf numFmtId="165" fontId="42" fillId="0" borderId="1" xfId="1" applyNumberFormat="1" applyFont="1" applyBorder="1"/>
    <xf numFmtId="165" fontId="42" fillId="23" borderId="1" xfId="1" applyNumberFormat="1" applyFont="1" applyFill="1" applyBorder="1"/>
    <xf numFmtId="0" fontId="40" fillId="0" borderId="1" xfId="0" applyFont="1" applyBorder="1"/>
    <xf numFmtId="165" fontId="40" fillId="0" borderId="1" xfId="0" applyNumberFormat="1" applyFont="1" applyBorder="1"/>
    <xf numFmtId="165" fontId="33" fillId="18" borderId="0" xfId="163" applyNumberFormat="1" applyFont="1" applyFill="1"/>
    <xf numFmtId="165" fontId="1" fillId="18" borderId="0" xfId="163" applyNumberFormat="1" applyFont="1" applyFill="1"/>
    <xf numFmtId="9" fontId="42" fillId="0" borderId="0" xfId="124" applyFont="1" applyFill="1"/>
    <xf numFmtId="9" fontId="40" fillId="0" borderId="0" xfId="124" applyFont="1"/>
    <xf numFmtId="165" fontId="40" fillId="23" borderId="1" xfId="0" applyNumberFormat="1" applyFont="1" applyFill="1" applyBorder="1"/>
    <xf numFmtId="10" fontId="3" fillId="0" borderId="0" xfId="124" applyNumberFormat="1" applyFont="1"/>
    <xf numFmtId="0" fontId="42" fillId="25" borderId="0" xfId="3" applyFont="1" applyFill="1"/>
    <xf numFmtId="17" fontId="4" fillId="27" borderId="0" xfId="3" applyNumberFormat="1" applyFont="1" applyFill="1" applyAlignment="1">
      <alignment horizontal="center"/>
    </xf>
    <xf numFmtId="17" fontId="4" fillId="27" borderId="0" xfId="3" quotePrefix="1" applyNumberFormat="1" applyFont="1" applyFill="1" applyAlignment="1">
      <alignment horizontal="center"/>
    </xf>
    <xf numFmtId="0" fontId="4" fillId="27" borderId="0" xfId="3" applyFont="1" applyFill="1" applyAlignment="1">
      <alignment horizontal="center" wrapText="1"/>
    </xf>
    <xf numFmtId="0" fontId="4" fillId="27" borderId="0" xfId="3" quotePrefix="1" applyFont="1" applyFill="1" applyAlignment="1">
      <alignment horizontal="center" wrapText="1"/>
    </xf>
    <xf numFmtId="43" fontId="3" fillId="21" borderId="0" xfId="1" applyFont="1" applyFill="1" applyAlignment="1">
      <alignment horizontal="center"/>
    </xf>
    <xf numFmtId="10" fontId="1" fillId="0" borderId="0" xfId="124" applyNumberFormat="1" applyFont="1"/>
    <xf numFmtId="43" fontId="57" fillId="0" borderId="0" xfId="0" applyNumberFormat="1" applyFont="1"/>
    <xf numFmtId="14" fontId="4" fillId="18" borderId="0" xfId="3" applyNumberFormat="1" applyFont="1" applyFill="1" applyAlignment="1">
      <alignment horizontal="center"/>
    </xf>
    <xf numFmtId="9" fontId="3" fillId="0" borderId="0" xfId="124" applyFont="1"/>
    <xf numFmtId="164" fontId="3" fillId="0" borderId="0" xfId="124" applyNumberFormat="1" applyFont="1"/>
    <xf numFmtId="0" fontId="3" fillId="0" borderId="18" xfId="3" applyFont="1" applyBorder="1"/>
    <xf numFmtId="0" fontId="3" fillId="0" borderId="17" xfId="3" applyFont="1" applyBorder="1"/>
    <xf numFmtId="165" fontId="3" fillId="25" borderId="1" xfId="3" applyNumberFormat="1" applyFont="1" applyFill="1" applyBorder="1"/>
    <xf numFmtId="0" fontId="3" fillId="27" borderId="0" xfId="3" applyFont="1" applyFill="1"/>
    <xf numFmtId="165" fontId="3" fillId="25" borderId="1" xfId="1" applyNumberFormat="1" applyFont="1" applyFill="1" applyBorder="1"/>
    <xf numFmtId="0" fontId="3" fillId="28" borderId="0" xfId="3" applyFont="1" applyFill="1"/>
    <xf numFmtId="17" fontId="41" fillId="28" borderId="0" xfId="3" quotePrefix="1" applyNumberFormat="1" applyFont="1" applyFill="1" applyAlignment="1">
      <alignment horizontal="center"/>
    </xf>
    <xf numFmtId="0" fontId="41" fillId="28" borderId="0" xfId="3" applyFont="1" applyFill="1" applyAlignment="1">
      <alignment horizontal="center" wrapText="1"/>
    </xf>
    <xf numFmtId="165" fontId="47" fillId="25" borderId="1" xfId="1" applyNumberFormat="1" applyFont="1" applyFill="1" applyBorder="1"/>
    <xf numFmtId="9" fontId="0" fillId="0" borderId="0" xfId="124" applyFont="1"/>
    <xf numFmtId="165" fontId="0" fillId="0" borderId="0" xfId="1" applyNumberFormat="1" applyFont="1"/>
    <xf numFmtId="165" fontId="0" fillId="0" borderId="0" xfId="1" applyNumberFormat="1" applyFont="1" applyBorder="1"/>
    <xf numFmtId="0" fontId="33" fillId="0" borderId="0" xfId="0" applyFont="1" applyAlignment="1">
      <alignment horizontal="right"/>
    </xf>
    <xf numFmtId="165" fontId="33" fillId="0" borderId="11" xfId="1" applyNumberFormat="1" applyFont="1" applyBorder="1"/>
    <xf numFmtId="165" fontId="33" fillId="0" borderId="0" xfId="1" applyNumberFormat="1" applyFont="1" applyBorder="1"/>
    <xf numFmtId="0" fontId="72" fillId="0" borderId="0" xfId="0" applyFont="1" applyAlignment="1">
      <alignment horizontal="right"/>
    </xf>
    <xf numFmtId="165" fontId="72" fillId="0" borderId="0" xfId="0" applyNumberFormat="1" applyFont="1"/>
    <xf numFmtId="0" fontId="33" fillId="0" borderId="11" xfId="0" applyFont="1" applyBorder="1" applyAlignment="1">
      <alignment horizontal="right"/>
    </xf>
    <xf numFmtId="165" fontId="33" fillId="0" borderId="11" xfId="0" applyNumberFormat="1" applyFont="1" applyBorder="1"/>
    <xf numFmtId="43" fontId="32" fillId="29" borderId="1" xfId="1" applyFont="1" applyFill="1" applyBorder="1"/>
    <xf numFmtId="165" fontId="42" fillId="29" borderId="1" xfId="3" applyNumberFormat="1" applyFont="1" applyFill="1" applyBorder="1"/>
    <xf numFmtId="165" fontId="42" fillId="29" borderId="1" xfId="1" applyNumberFormat="1" applyFont="1" applyFill="1" applyBorder="1"/>
    <xf numFmtId="0" fontId="69" fillId="0" borderId="0" xfId="0" applyFont="1"/>
    <xf numFmtId="0" fontId="44" fillId="30" borderId="0" xfId="0" applyFont="1" applyFill="1"/>
    <xf numFmtId="43" fontId="3" fillId="30" borderId="0" xfId="1" applyFont="1" applyFill="1"/>
    <xf numFmtId="165" fontId="3" fillId="31" borderId="0" xfId="3" applyNumberFormat="1" applyFont="1" applyFill="1"/>
    <xf numFmtId="165" fontId="42" fillId="31" borderId="0" xfId="3" applyNumberFormat="1" applyFont="1" applyFill="1"/>
    <xf numFmtId="165" fontId="40" fillId="31" borderId="0" xfId="0" applyNumberFormat="1" applyFont="1" applyFill="1"/>
    <xf numFmtId="14" fontId="4" fillId="0" borderId="0" xfId="1" applyNumberFormat="1" applyFont="1" applyFill="1" applyAlignment="1">
      <alignment horizontal="center" wrapText="1"/>
    </xf>
    <xf numFmtId="43" fontId="3" fillId="30" borderId="0" xfId="1" applyFont="1" applyFill="1" applyAlignment="1">
      <alignment horizontal="center"/>
    </xf>
    <xf numFmtId="0" fontId="71" fillId="30" borderId="0" xfId="3" applyFont="1" applyFill="1" applyAlignment="1">
      <alignment horizontal="center"/>
    </xf>
    <xf numFmtId="165" fontId="3" fillId="30" borderId="0" xfId="1" applyNumberFormat="1" applyFont="1" applyFill="1"/>
    <xf numFmtId="0" fontId="3" fillId="30" borderId="0" xfId="3" applyFont="1" applyFill="1"/>
    <xf numFmtId="165" fontId="3" fillId="30" borderId="0" xfId="3" applyNumberFormat="1" applyFont="1" applyFill="1"/>
    <xf numFmtId="43" fontId="3" fillId="30" borderId="0" xfId="3" applyNumberFormat="1" applyFont="1" applyFill="1"/>
    <xf numFmtId="43" fontId="32" fillId="0" borderId="1" xfId="1" applyFont="1" applyFill="1" applyBorder="1"/>
    <xf numFmtId="43" fontId="50" fillId="30" borderId="0" xfId="1" applyFont="1" applyFill="1"/>
    <xf numFmtId="165" fontId="50" fillId="30" borderId="0" xfId="1" applyNumberFormat="1" applyFont="1" applyFill="1"/>
    <xf numFmtId="0" fontId="50" fillId="30" borderId="0" xfId="3" applyFont="1" applyFill="1"/>
    <xf numFmtId="0" fontId="71" fillId="0" borderId="0" xfId="3" applyFont="1" applyAlignment="1">
      <alignment horizontal="center"/>
    </xf>
    <xf numFmtId="0" fontId="0" fillId="30" borderId="0" xfId="0" applyFill="1" applyAlignment="1">
      <alignment horizontal="left"/>
    </xf>
    <xf numFmtId="49" fontId="44" fillId="30" borderId="0" xfId="0" applyNumberFormat="1" applyFont="1" applyFill="1"/>
    <xf numFmtId="165" fontId="3" fillId="0" borderId="1" xfId="1" applyNumberFormat="1" applyFont="1" applyFill="1" applyBorder="1"/>
    <xf numFmtId="43" fontId="9" fillId="30" borderId="0" xfId="1" applyFont="1" applyFill="1" applyBorder="1"/>
    <xf numFmtId="0" fontId="42" fillId="30" borderId="0" xfId="3" applyFont="1" applyFill="1"/>
    <xf numFmtId="168" fontId="3" fillId="0" borderId="0" xfId="1" applyNumberFormat="1" applyFont="1" applyFill="1"/>
    <xf numFmtId="0" fontId="4" fillId="32" borderId="0" xfId="3" applyFont="1" applyFill="1" applyAlignment="1">
      <alignment horizontal="center" wrapText="1"/>
    </xf>
    <xf numFmtId="165" fontId="0" fillId="30" borderId="0" xfId="0" applyNumberFormat="1" applyFill="1"/>
    <xf numFmtId="0" fontId="34" fillId="30" borderId="0" xfId="3" applyFont="1" applyFill="1"/>
    <xf numFmtId="0" fontId="48" fillId="30" borderId="0" xfId="0" applyFont="1" applyFill="1"/>
    <xf numFmtId="0" fontId="49" fillId="30" borderId="0" xfId="0" applyFont="1" applyFill="1"/>
    <xf numFmtId="43" fontId="50" fillId="30" borderId="0" xfId="1" applyFont="1" applyFill="1" applyAlignment="1">
      <alignment horizontal="center"/>
    </xf>
    <xf numFmtId="43" fontId="42" fillId="30" borderId="0" xfId="1" applyFont="1" applyFill="1" applyAlignment="1">
      <alignment horizontal="center"/>
    </xf>
    <xf numFmtId="0" fontId="0" fillId="30" borderId="0" xfId="0" applyFill="1"/>
    <xf numFmtId="43" fontId="42" fillId="30" borderId="0" xfId="3" applyNumberFormat="1" applyFont="1" applyFill="1"/>
    <xf numFmtId="165" fontId="42" fillId="30" borderId="0" xfId="1" applyNumberFormat="1" applyFont="1" applyFill="1"/>
    <xf numFmtId="165" fontId="40" fillId="30" borderId="0" xfId="0" applyNumberFormat="1" applyFont="1" applyFill="1"/>
    <xf numFmtId="165" fontId="42" fillId="30" borderId="0" xfId="3" applyNumberFormat="1" applyFont="1" applyFill="1"/>
    <xf numFmtId="43" fontId="42" fillId="30" borderId="0" xfId="1" applyFont="1" applyFill="1"/>
    <xf numFmtId="43" fontId="44" fillId="30" borderId="0" xfId="1" applyFont="1" applyFill="1" applyBorder="1"/>
    <xf numFmtId="0" fontId="42" fillId="21" borderId="0" xfId="3" applyFont="1" applyFill="1"/>
    <xf numFmtId="0" fontId="48" fillId="30" borderId="0" xfId="3" applyFont="1" applyFill="1"/>
    <xf numFmtId="0" fontId="48" fillId="0" borderId="0" xfId="3" applyFont="1"/>
    <xf numFmtId="43" fontId="48" fillId="0" borderId="0" xfId="1" applyFont="1" applyFill="1"/>
    <xf numFmtId="43" fontId="3" fillId="21" borderId="0" xfId="3" applyNumberFormat="1" applyFont="1" applyFill="1"/>
    <xf numFmtId="0" fontId="40" fillId="30" borderId="0" xfId="0" applyFont="1" applyFill="1"/>
    <xf numFmtId="165" fontId="42" fillId="0" borderId="1" xfId="1" applyNumberFormat="1" applyFont="1" applyFill="1" applyBorder="1"/>
    <xf numFmtId="43" fontId="40" fillId="30" borderId="0" xfId="1" applyFont="1" applyFill="1"/>
    <xf numFmtId="165" fontId="47" fillId="0" borderId="1" xfId="1" applyNumberFormat="1" applyFont="1" applyFill="1" applyBorder="1"/>
    <xf numFmtId="0" fontId="56" fillId="30" borderId="0" xfId="0" applyFont="1" applyFill="1"/>
    <xf numFmtId="0" fontId="44" fillId="30" borderId="0" xfId="3" applyFont="1" applyFill="1"/>
    <xf numFmtId="43" fontId="44" fillId="30" borderId="0" xfId="1" applyFont="1" applyFill="1" applyAlignment="1">
      <alignment horizontal="center"/>
    </xf>
    <xf numFmtId="43" fontId="9" fillId="30" borderId="0" xfId="3" applyNumberFormat="1" applyFont="1" applyFill="1"/>
    <xf numFmtId="43" fontId="44" fillId="30" borderId="0" xfId="1" applyFont="1" applyFill="1"/>
    <xf numFmtId="165" fontId="44" fillId="30" borderId="0" xfId="1" applyNumberFormat="1" applyFont="1" applyFill="1"/>
    <xf numFmtId="165" fontId="44" fillId="30" borderId="0" xfId="0" applyNumberFormat="1" applyFont="1" applyFill="1"/>
    <xf numFmtId="165" fontId="44" fillId="30" borderId="0" xfId="3" applyNumberFormat="1" applyFont="1" applyFill="1"/>
    <xf numFmtId="0" fontId="9" fillId="30" borderId="0" xfId="3" applyFont="1" applyFill="1"/>
    <xf numFmtId="165" fontId="9" fillId="30" borderId="0" xfId="1" applyNumberFormat="1" applyFont="1" applyFill="1"/>
    <xf numFmtId="0" fontId="44" fillId="21" borderId="0" xfId="0" applyFont="1" applyFill="1"/>
    <xf numFmtId="0" fontId="44" fillId="22" borderId="0" xfId="0" applyFont="1" applyFill="1"/>
    <xf numFmtId="43" fontId="3" fillId="22" borderId="0" xfId="1" applyFont="1" applyFill="1" applyAlignment="1">
      <alignment horizontal="center"/>
    </xf>
    <xf numFmtId="44" fontId="3" fillId="0" borderId="0" xfId="2" applyFont="1" applyFill="1"/>
    <xf numFmtId="17" fontId="4" fillId="18" borderId="0" xfId="3" applyNumberFormat="1" applyFont="1" applyFill="1" applyAlignment="1">
      <alignment horizontal="center"/>
    </xf>
    <xf numFmtId="17" fontId="41" fillId="18" borderId="0" xfId="3" applyNumberFormat="1" applyFont="1" applyFill="1" applyAlignment="1">
      <alignment horizontal="center"/>
    </xf>
    <xf numFmtId="10" fontId="33" fillId="0" borderId="0" xfId="124" applyNumberFormat="1" applyFont="1"/>
    <xf numFmtId="43" fontId="3" fillId="33" borderId="0" xfId="1" applyFont="1" applyFill="1" applyAlignment="1">
      <alignment horizontal="center"/>
    </xf>
    <xf numFmtId="2" fontId="44" fillId="0" borderId="0" xfId="2" applyNumberFormat="1" applyFont="1"/>
    <xf numFmtId="17" fontId="4" fillId="21" borderId="0" xfId="3" applyNumberFormat="1" applyFont="1" applyFill="1" applyAlignment="1">
      <alignment horizontal="center"/>
    </xf>
    <xf numFmtId="0" fontId="4" fillId="21" borderId="0" xfId="3" applyFont="1" applyFill="1" applyAlignment="1">
      <alignment horizontal="center" wrapText="1"/>
    </xf>
    <xf numFmtId="13" fontId="4" fillId="0" borderId="0" xfId="1" applyNumberFormat="1" applyFont="1" applyFill="1" applyAlignment="1">
      <alignment horizontal="center"/>
    </xf>
    <xf numFmtId="44" fontId="4" fillId="0" borderId="0" xfId="3" applyNumberFormat="1" applyFont="1" applyAlignment="1">
      <alignment horizontal="right"/>
    </xf>
    <xf numFmtId="165" fontId="0" fillId="0" borderId="0" xfId="1" applyNumberFormat="1" applyFont="1" applyFill="1"/>
    <xf numFmtId="0" fontId="0" fillId="0" borderId="0" xfId="0" applyAlignment="1">
      <alignment wrapText="1"/>
    </xf>
    <xf numFmtId="0" fontId="0" fillId="0" borderId="4" xfId="0" applyBorder="1" applyAlignment="1">
      <alignment horizontal="left" wrapText="1"/>
    </xf>
    <xf numFmtId="0" fontId="33" fillId="20" borderId="0" xfId="0" applyFont="1" applyFill="1" applyAlignment="1">
      <alignment horizontal="center"/>
    </xf>
    <xf numFmtId="0" fontId="3" fillId="0" borderId="13" xfId="3" applyFont="1" applyBorder="1" applyAlignment="1">
      <alignment horizontal="center"/>
    </xf>
    <xf numFmtId="0" fontId="3" fillId="0" borderId="14" xfId="3" applyFont="1" applyBorder="1" applyAlignment="1">
      <alignment horizontal="center"/>
    </xf>
    <xf numFmtId="43" fontId="9" fillId="0" borderId="0" xfId="1" applyFont="1" applyFill="1" applyAlignment="1">
      <alignment horizontal="center"/>
    </xf>
    <xf numFmtId="0" fontId="32" fillId="0" borderId="0" xfId="3" applyFont="1" applyAlignment="1">
      <alignment horizontal="center"/>
    </xf>
    <xf numFmtId="44" fontId="0" fillId="0" borderId="0" xfId="0" applyNumberFormat="1" applyFill="1"/>
  </cellXfs>
  <cellStyles count="284">
    <cellStyle name="20% - Accent1 2" xfId="5" xr:uid="{00000000-0005-0000-0000-000000000000}"/>
    <cellStyle name="20% - Accent4 2" xfId="6" xr:uid="{00000000-0005-0000-0000-000001000000}"/>
    <cellStyle name="40% - Accent1 2" xfId="7" xr:uid="{00000000-0005-0000-0000-000002000000}"/>
    <cellStyle name="40% - Accent4 2" xfId="8" xr:uid="{00000000-0005-0000-0000-000003000000}"/>
    <cellStyle name="40% - Accent5 2" xfId="9" xr:uid="{00000000-0005-0000-0000-000004000000}"/>
    <cellStyle name="40% - Accent6 2" xfId="10" xr:uid="{00000000-0005-0000-0000-000005000000}"/>
    <cellStyle name="60% - Accent1 2" xfId="11" xr:uid="{00000000-0005-0000-0000-000006000000}"/>
    <cellStyle name="60% - Accent2 2" xfId="12" xr:uid="{00000000-0005-0000-0000-000007000000}"/>
    <cellStyle name="60% - Accent3 2" xfId="13" xr:uid="{00000000-0005-0000-0000-000008000000}"/>
    <cellStyle name="60% - Accent4 2" xfId="14" xr:uid="{00000000-0005-0000-0000-000009000000}"/>
    <cellStyle name="60% - Accent5 2" xfId="15" xr:uid="{00000000-0005-0000-0000-00000A000000}"/>
    <cellStyle name="Accent1 2" xfId="16" xr:uid="{00000000-0005-0000-0000-00000B000000}"/>
    <cellStyle name="Accent2 2" xfId="17" xr:uid="{00000000-0005-0000-0000-00000C000000}"/>
    <cellStyle name="Accent3 2" xfId="18" xr:uid="{00000000-0005-0000-0000-00000D000000}"/>
    <cellStyle name="Accent6 2" xfId="19" xr:uid="{00000000-0005-0000-0000-00000E000000}"/>
    <cellStyle name="Accounting" xfId="20" xr:uid="{00000000-0005-0000-0000-00000F000000}"/>
    <cellStyle name="Bad 2" xfId="21" xr:uid="{00000000-0005-0000-0000-000010000000}"/>
    <cellStyle name="Budget" xfId="22" xr:uid="{00000000-0005-0000-0000-000011000000}"/>
    <cellStyle name="Calculation 2" xfId="23" xr:uid="{00000000-0005-0000-0000-000012000000}"/>
    <cellStyle name="Comma" xfId="1" builtinId="3"/>
    <cellStyle name="Comma 10" xfId="24" xr:uid="{00000000-0005-0000-0000-000014000000}"/>
    <cellStyle name="Comma 11" xfId="25" xr:uid="{00000000-0005-0000-0000-000015000000}"/>
    <cellStyle name="Comma 12" xfId="26" xr:uid="{00000000-0005-0000-0000-000016000000}"/>
    <cellStyle name="Comma 12 4" xfId="165" xr:uid="{00000000-0005-0000-0000-000017000000}"/>
    <cellStyle name="Comma 13" xfId="27" xr:uid="{00000000-0005-0000-0000-000018000000}"/>
    <cellStyle name="Comma 14" xfId="28" xr:uid="{00000000-0005-0000-0000-000019000000}"/>
    <cellStyle name="Comma 15" xfId="29" xr:uid="{00000000-0005-0000-0000-00001A000000}"/>
    <cellStyle name="Comma 16" xfId="30" xr:uid="{00000000-0005-0000-0000-00001B000000}"/>
    <cellStyle name="Comma 17" xfId="163" xr:uid="{00000000-0005-0000-0000-00001C000000}"/>
    <cellStyle name="Comma 18" xfId="177" xr:uid="{00000000-0005-0000-0000-00001D000000}"/>
    <cellStyle name="Comma 2" xfId="31" xr:uid="{00000000-0005-0000-0000-00001E000000}"/>
    <cellStyle name="Comma 2 2" xfId="32" xr:uid="{00000000-0005-0000-0000-00001F000000}"/>
    <cellStyle name="Comma 2 3" xfId="33" xr:uid="{00000000-0005-0000-0000-000020000000}"/>
    <cellStyle name="Comma 3" xfId="34" xr:uid="{00000000-0005-0000-0000-000021000000}"/>
    <cellStyle name="Comma 3 2" xfId="35" xr:uid="{00000000-0005-0000-0000-000022000000}"/>
    <cellStyle name="Comma 3 2 2" xfId="36" xr:uid="{00000000-0005-0000-0000-000023000000}"/>
    <cellStyle name="Comma 3 3" xfId="37" xr:uid="{00000000-0005-0000-0000-000024000000}"/>
    <cellStyle name="Comma 4" xfId="38" xr:uid="{00000000-0005-0000-0000-000025000000}"/>
    <cellStyle name="Comma 4 2" xfId="39" xr:uid="{00000000-0005-0000-0000-000026000000}"/>
    <cellStyle name="Comma 4 2 2" xfId="125" xr:uid="{00000000-0005-0000-0000-000027000000}"/>
    <cellStyle name="Comma 4 2 2 2" xfId="156" xr:uid="{00000000-0005-0000-0000-000028000000}"/>
    <cellStyle name="Comma 4 2 2 2 2" xfId="193" xr:uid="{00000000-0005-0000-0000-000029000000}"/>
    <cellStyle name="Comma 4 2 2 2 3" xfId="194" xr:uid="{00000000-0005-0000-0000-00002A000000}"/>
    <cellStyle name="Comma 4 2 2 2 4" xfId="195" xr:uid="{00000000-0005-0000-0000-00002B000000}"/>
    <cellStyle name="Comma 4 2 2 3" xfId="196" xr:uid="{00000000-0005-0000-0000-00002C000000}"/>
    <cellStyle name="Comma 4 2 2 4" xfId="197" xr:uid="{00000000-0005-0000-0000-00002D000000}"/>
    <cellStyle name="Comma 4 2 2 5" xfId="198" xr:uid="{00000000-0005-0000-0000-00002E000000}"/>
    <cellStyle name="Comma 4 2 3" xfId="148" xr:uid="{00000000-0005-0000-0000-00002F000000}"/>
    <cellStyle name="Comma 4 2 3 2" xfId="199" xr:uid="{00000000-0005-0000-0000-000030000000}"/>
    <cellStyle name="Comma 4 2 3 3" xfId="200" xr:uid="{00000000-0005-0000-0000-000031000000}"/>
    <cellStyle name="Comma 4 2 3 4" xfId="201" xr:uid="{00000000-0005-0000-0000-000032000000}"/>
    <cellStyle name="Comma 4 2 4" xfId="202" xr:uid="{00000000-0005-0000-0000-000033000000}"/>
    <cellStyle name="Comma 4 2 5" xfId="203" xr:uid="{00000000-0005-0000-0000-000034000000}"/>
    <cellStyle name="Comma 4 2 6" xfId="204" xr:uid="{00000000-0005-0000-0000-000035000000}"/>
    <cellStyle name="Comma 4 3" xfId="40" xr:uid="{00000000-0005-0000-0000-000036000000}"/>
    <cellStyle name="Comma 4 3 2" xfId="136" xr:uid="{00000000-0005-0000-0000-000037000000}"/>
    <cellStyle name="Comma 4 3 2 2" xfId="157" xr:uid="{00000000-0005-0000-0000-000038000000}"/>
    <cellStyle name="Comma 4 3 2 2 2" xfId="205" xr:uid="{00000000-0005-0000-0000-000039000000}"/>
    <cellStyle name="Comma 4 3 2 2 3" xfId="206" xr:uid="{00000000-0005-0000-0000-00003A000000}"/>
    <cellStyle name="Comma 4 3 2 2 4" xfId="207" xr:uid="{00000000-0005-0000-0000-00003B000000}"/>
    <cellStyle name="Comma 4 3 2 3" xfId="208" xr:uid="{00000000-0005-0000-0000-00003C000000}"/>
    <cellStyle name="Comma 4 3 2 4" xfId="209" xr:uid="{00000000-0005-0000-0000-00003D000000}"/>
    <cellStyle name="Comma 4 3 2 5" xfId="210" xr:uid="{00000000-0005-0000-0000-00003E000000}"/>
    <cellStyle name="Comma 4 3 3" xfId="149" xr:uid="{00000000-0005-0000-0000-00003F000000}"/>
    <cellStyle name="Comma 4 3 3 2" xfId="211" xr:uid="{00000000-0005-0000-0000-000040000000}"/>
    <cellStyle name="Comma 4 3 3 3" xfId="212" xr:uid="{00000000-0005-0000-0000-000041000000}"/>
    <cellStyle name="Comma 4 3 3 4" xfId="213" xr:uid="{00000000-0005-0000-0000-000042000000}"/>
    <cellStyle name="Comma 4 3 4" xfId="214" xr:uid="{00000000-0005-0000-0000-000043000000}"/>
    <cellStyle name="Comma 4 3 5" xfId="215" xr:uid="{00000000-0005-0000-0000-000044000000}"/>
    <cellStyle name="Comma 4 3 6" xfId="216" xr:uid="{00000000-0005-0000-0000-000045000000}"/>
    <cellStyle name="Comma 4 4" xfId="41" xr:uid="{00000000-0005-0000-0000-000046000000}"/>
    <cellStyle name="Comma 4 4 2" xfId="135" xr:uid="{00000000-0005-0000-0000-000047000000}"/>
    <cellStyle name="Comma 4 4 2 2" xfId="158" xr:uid="{00000000-0005-0000-0000-000048000000}"/>
    <cellStyle name="Comma 4 4 2 2 2" xfId="217" xr:uid="{00000000-0005-0000-0000-000049000000}"/>
    <cellStyle name="Comma 4 4 2 2 3" xfId="218" xr:uid="{00000000-0005-0000-0000-00004A000000}"/>
    <cellStyle name="Comma 4 4 2 2 4" xfId="219" xr:uid="{00000000-0005-0000-0000-00004B000000}"/>
    <cellStyle name="Comma 4 4 2 3" xfId="220" xr:uid="{00000000-0005-0000-0000-00004C000000}"/>
    <cellStyle name="Comma 4 4 2 4" xfId="221" xr:uid="{00000000-0005-0000-0000-00004D000000}"/>
    <cellStyle name="Comma 4 4 2 5" xfId="222" xr:uid="{00000000-0005-0000-0000-00004E000000}"/>
    <cellStyle name="Comma 4 4 3" xfId="150" xr:uid="{00000000-0005-0000-0000-00004F000000}"/>
    <cellStyle name="Comma 4 4 3 2" xfId="223" xr:uid="{00000000-0005-0000-0000-000050000000}"/>
    <cellStyle name="Comma 4 4 3 3" xfId="224" xr:uid="{00000000-0005-0000-0000-000051000000}"/>
    <cellStyle name="Comma 4 4 3 4" xfId="225" xr:uid="{00000000-0005-0000-0000-000052000000}"/>
    <cellStyle name="Comma 4 4 4" xfId="226" xr:uid="{00000000-0005-0000-0000-000053000000}"/>
    <cellStyle name="Comma 4 4 5" xfId="227" xr:uid="{00000000-0005-0000-0000-000054000000}"/>
    <cellStyle name="Comma 4 4 6" xfId="228" xr:uid="{00000000-0005-0000-0000-000055000000}"/>
    <cellStyle name="Comma 4 5" xfId="42" xr:uid="{00000000-0005-0000-0000-000056000000}"/>
    <cellStyle name="Comma 4 5 2" xfId="155" xr:uid="{00000000-0005-0000-0000-000057000000}"/>
    <cellStyle name="Comma 4 5 2 2" xfId="229" xr:uid="{00000000-0005-0000-0000-000058000000}"/>
    <cellStyle name="Comma 4 5 2 3" xfId="230" xr:uid="{00000000-0005-0000-0000-000059000000}"/>
    <cellStyle name="Comma 4 5 2 4" xfId="231" xr:uid="{00000000-0005-0000-0000-00005A000000}"/>
    <cellStyle name="Comma 4 5 3" xfId="144" xr:uid="{00000000-0005-0000-0000-00005B000000}"/>
    <cellStyle name="Comma 4 5 4" xfId="232" xr:uid="{00000000-0005-0000-0000-00005C000000}"/>
    <cellStyle name="Comma 4 5 5" xfId="233" xr:uid="{00000000-0005-0000-0000-00005D000000}"/>
    <cellStyle name="Comma 4 6" xfId="147" xr:uid="{00000000-0005-0000-0000-00005E000000}"/>
    <cellStyle name="Comma 4 6 2" xfId="234" xr:uid="{00000000-0005-0000-0000-00005F000000}"/>
    <cellStyle name="Comma 4 6 3" xfId="235" xr:uid="{00000000-0005-0000-0000-000060000000}"/>
    <cellStyle name="Comma 4 6 4" xfId="236" xr:uid="{00000000-0005-0000-0000-000061000000}"/>
    <cellStyle name="Comma 4 7" xfId="237" xr:uid="{00000000-0005-0000-0000-000062000000}"/>
    <cellStyle name="Comma 4 8" xfId="238" xr:uid="{00000000-0005-0000-0000-000063000000}"/>
    <cellStyle name="Comma 4 9" xfId="239" xr:uid="{00000000-0005-0000-0000-000064000000}"/>
    <cellStyle name="Comma 5" xfId="43" xr:uid="{00000000-0005-0000-0000-000065000000}"/>
    <cellStyle name="Comma 5 2" xfId="134" xr:uid="{00000000-0005-0000-0000-000066000000}"/>
    <cellStyle name="Comma 5 2 2" xfId="159" xr:uid="{00000000-0005-0000-0000-000067000000}"/>
    <cellStyle name="Comma 5 2 2 2" xfId="240" xr:uid="{00000000-0005-0000-0000-000068000000}"/>
    <cellStyle name="Comma 5 2 2 3" xfId="241" xr:uid="{00000000-0005-0000-0000-000069000000}"/>
    <cellStyle name="Comma 5 2 2 4" xfId="242" xr:uid="{00000000-0005-0000-0000-00006A000000}"/>
    <cellStyle name="Comma 5 2 3" xfId="243" xr:uid="{00000000-0005-0000-0000-00006B000000}"/>
    <cellStyle name="Comma 5 2 4" xfId="244" xr:uid="{00000000-0005-0000-0000-00006C000000}"/>
    <cellStyle name="Comma 5 2 5" xfId="245" xr:uid="{00000000-0005-0000-0000-00006D000000}"/>
    <cellStyle name="Comma 5 3" xfId="151" xr:uid="{00000000-0005-0000-0000-00006E000000}"/>
    <cellStyle name="Comma 5 3 2" xfId="246" xr:uid="{00000000-0005-0000-0000-00006F000000}"/>
    <cellStyle name="Comma 5 3 3" xfId="247" xr:uid="{00000000-0005-0000-0000-000070000000}"/>
    <cellStyle name="Comma 5 3 4" xfId="248" xr:uid="{00000000-0005-0000-0000-000071000000}"/>
    <cellStyle name="Comma 5 4" xfId="249" xr:uid="{00000000-0005-0000-0000-000072000000}"/>
    <cellStyle name="Comma 5 5" xfId="250" xr:uid="{00000000-0005-0000-0000-000073000000}"/>
    <cellStyle name="Comma 5 6" xfId="251" xr:uid="{00000000-0005-0000-0000-000074000000}"/>
    <cellStyle name="Comma 6" xfId="44" xr:uid="{00000000-0005-0000-0000-000075000000}"/>
    <cellStyle name="Comma 7" xfId="45" xr:uid="{00000000-0005-0000-0000-000076000000}"/>
    <cellStyle name="Comma 8" xfId="46" xr:uid="{00000000-0005-0000-0000-000077000000}"/>
    <cellStyle name="Comma 9" xfId="47" xr:uid="{00000000-0005-0000-0000-000078000000}"/>
    <cellStyle name="Comma(2)" xfId="48" xr:uid="{00000000-0005-0000-0000-000079000000}"/>
    <cellStyle name="Comma0 - Style2" xfId="49" xr:uid="{00000000-0005-0000-0000-00007A000000}"/>
    <cellStyle name="Comma1 - Style1" xfId="50" xr:uid="{00000000-0005-0000-0000-00007B000000}"/>
    <cellStyle name="Comments" xfId="51" xr:uid="{00000000-0005-0000-0000-00007C000000}"/>
    <cellStyle name="Currency" xfId="2" builtinId="4"/>
    <cellStyle name="Currency 2" xfId="52" xr:uid="{00000000-0005-0000-0000-00007E000000}"/>
    <cellStyle name="Currency 2 2" xfId="53" xr:uid="{00000000-0005-0000-0000-00007F000000}"/>
    <cellStyle name="Currency 2 3" xfId="143" xr:uid="{00000000-0005-0000-0000-000080000000}"/>
    <cellStyle name="Currency 3" xfId="54" xr:uid="{00000000-0005-0000-0000-000081000000}"/>
    <cellStyle name="Currency 3 2" xfId="146" xr:uid="{00000000-0005-0000-0000-000082000000}"/>
    <cellStyle name="Currency 4" xfId="55" xr:uid="{00000000-0005-0000-0000-000083000000}"/>
    <cellStyle name="Currency 5" xfId="56" xr:uid="{00000000-0005-0000-0000-000084000000}"/>
    <cellStyle name="Currency 6" xfId="57" xr:uid="{00000000-0005-0000-0000-000085000000}"/>
    <cellStyle name="Currency 7" xfId="58" xr:uid="{00000000-0005-0000-0000-000086000000}"/>
    <cellStyle name="Currency 8" xfId="176" xr:uid="{00000000-0005-0000-0000-000087000000}"/>
    <cellStyle name="Data Enter" xfId="59" xr:uid="{00000000-0005-0000-0000-000088000000}"/>
    <cellStyle name="F9ReportControlStyle_ctpInquire" xfId="167" xr:uid="{00000000-0005-0000-0000-000089000000}"/>
    <cellStyle name="FactSheet" xfId="60" xr:uid="{00000000-0005-0000-0000-00008A000000}"/>
    <cellStyle name="Good 2" xfId="61" xr:uid="{00000000-0005-0000-0000-00008B000000}"/>
    <cellStyle name="Heading 1 2" xfId="62" xr:uid="{00000000-0005-0000-0000-00008C000000}"/>
    <cellStyle name="Heading 2 2" xfId="63" xr:uid="{00000000-0005-0000-0000-00008D000000}"/>
    <cellStyle name="Heading 3 2" xfId="64" xr:uid="{00000000-0005-0000-0000-00008E000000}"/>
    <cellStyle name="Hyperlink 2" xfId="65" xr:uid="{00000000-0005-0000-0000-00008F000000}"/>
    <cellStyle name="Hyperlink 3" xfId="66" xr:uid="{00000000-0005-0000-0000-000090000000}"/>
    <cellStyle name="input(0)" xfId="67" xr:uid="{00000000-0005-0000-0000-000091000000}"/>
    <cellStyle name="Input(2)" xfId="68" xr:uid="{00000000-0005-0000-0000-000092000000}"/>
    <cellStyle name="Linked Cell 2" xfId="69" xr:uid="{00000000-0005-0000-0000-000093000000}"/>
    <cellStyle name="Neutral 2" xfId="70" xr:uid="{00000000-0005-0000-0000-000094000000}"/>
    <cellStyle name="New_normal" xfId="71" xr:uid="{00000000-0005-0000-0000-000095000000}"/>
    <cellStyle name="Normal" xfId="0" builtinId="0"/>
    <cellStyle name="Normal - Style1" xfId="72" xr:uid="{00000000-0005-0000-0000-000097000000}"/>
    <cellStyle name="Normal - Style2" xfId="73" xr:uid="{00000000-0005-0000-0000-000098000000}"/>
    <cellStyle name="Normal - Style3" xfId="74" xr:uid="{00000000-0005-0000-0000-000099000000}"/>
    <cellStyle name="Normal - Style4" xfId="75" xr:uid="{00000000-0005-0000-0000-00009A000000}"/>
    <cellStyle name="Normal - Style5" xfId="76" xr:uid="{00000000-0005-0000-0000-00009B000000}"/>
    <cellStyle name="Normal 10" xfId="77" xr:uid="{00000000-0005-0000-0000-00009C000000}"/>
    <cellStyle name="Normal 10 2" xfId="252" xr:uid="{00000000-0005-0000-0000-00009D000000}"/>
    <cellStyle name="Normal 11" xfId="78" xr:uid="{00000000-0005-0000-0000-00009E000000}"/>
    <cellStyle name="Normal 12" xfId="79" xr:uid="{00000000-0005-0000-0000-00009F000000}"/>
    <cellStyle name="Normal 13" xfId="80" xr:uid="{00000000-0005-0000-0000-0000A0000000}"/>
    <cellStyle name="Normal 14" xfId="81" xr:uid="{00000000-0005-0000-0000-0000A1000000}"/>
    <cellStyle name="Normal 15" xfId="82" xr:uid="{00000000-0005-0000-0000-0000A2000000}"/>
    <cellStyle name="Normal 16" xfId="83" xr:uid="{00000000-0005-0000-0000-0000A3000000}"/>
    <cellStyle name="Normal 17" xfId="84" xr:uid="{00000000-0005-0000-0000-0000A4000000}"/>
    <cellStyle name="Normal 18" xfId="85" xr:uid="{00000000-0005-0000-0000-0000A5000000}"/>
    <cellStyle name="Normal 19" xfId="86" xr:uid="{00000000-0005-0000-0000-0000A6000000}"/>
    <cellStyle name="Normal 2" xfId="87" xr:uid="{00000000-0005-0000-0000-0000A7000000}"/>
    <cellStyle name="Normal 2 2" xfId="88" xr:uid="{00000000-0005-0000-0000-0000A8000000}"/>
    <cellStyle name="Normal 2 2 2" xfId="89" xr:uid="{00000000-0005-0000-0000-0000A9000000}"/>
    <cellStyle name="Normal 2 2 3" xfId="90" xr:uid="{00000000-0005-0000-0000-0000AA000000}"/>
    <cellStyle name="Normal 2 2_4MthProj2" xfId="126" xr:uid="{00000000-0005-0000-0000-0000AB000000}"/>
    <cellStyle name="Normal 2 3" xfId="91" xr:uid="{00000000-0005-0000-0000-0000AC000000}"/>
    <cellStyle name="Normal 2 3 2" xfId="92" xr:uid="{00000000-0005-0000-0000-0000AD000000}"/>
    <cellStyle name="Normal 2 3 3" xfId="93" xr:uid="{00000000-0005-0000-0000-0000AE000000}"/>
    <cellStyle name="Normal 2 3_4MthProj2" xfId="127" xr:uid="{00000000-0005-0000-0000-0000AF000000}"/>
    <cellStyle name="Normal 2 4" xfId="94" xr:uid="{00000000-0005-0000-0000-0000B0000000}"/>
    <cellStyle name="Normal 2 5" xfId="95" xr:uid="{00000000-0005-0000-0000-0000B1000000}"/>
    <cellStyle name="Normal 2 6" xfId="173" xr:uid="{00000000-0005-0000-0000-0000B2000000}"/>
    <cellStyle name="Normal 2 6 2" xfId="186" xr:uid="{00000000-0005-0000-0000-0000B3000000}"/>
    <cellStyle name="Normal 2 7" xfId="190" xr:uid="{00000000-0005-0000-0000-0000B4000000}"/>
    <cellStyle name="Normal 2 8" xfId="192" xr:uid="{00000000-0005-0000-0000-0000B5000000}"/>
    <cellStyle name="Normal 2_2180 Payroll Schedule 8-22-2011" xfId="96" xr:uid="{00000000-0005-0000-0000-0000B6000000}"/>
    <cellStyle name="Normal 20" xfId="122" xr:uid="{00000000-0005-0000-0000-0000B7000000}"/>
    <cellStyle name="Normal 21" xfId="123" xr:uid="{00000000-0005-0000-0000-0000B8000000}"/>
    <cellStyle name="Normal 21 2" xfId="137" xr:uid="{00000000-0005-0000-0000-0000B9000000}"/>
    <cellStyle name="Normal 21_Clark Co. Regulated - Price Out" xfId="253" xr:uid="{00000000-0005-0000-0000-0000BA000000}"/>
    <cellStyle name="Normal 22" xfId="128" xr:uid="{00000000-0005-0000-0000-0000BB000000}"/>
    <cellStyle name="Normal 22 2" xfId="178" xr:uid="{00000000-0005-0000-0000-0000BC000000}"/>
    <cellStyle name="Normal 23" xfId="129" xr:uid="{00000000-0005-0000-0000-0000BD000000}"/>
    <cellStyle name="Normal 23 2" xfId="179" xr:uid="{00000000-0005-0000-0000-0000BE000000}"/>
    <cellStyle name="Normal 24" xfId="130" xr:uid="{00000000-0005-0000-0000-0000BF000000}"/>
    <cellStyle name="Normal 24 2" xfId="180" xr:uid="{00000000-0005-0000-0000-0000C0000000}"/>
    <cellStyle name="Normal 25" xfId="131" xr:uid="{00000000-0005-0000-0000-0000C1000000}"/>
    <cellStyle name="Normal 25 2" xfId="181" xr:uid="{00000000-0005-0000-0000-0000C2000000}"/>
    <cellStyle name="Normal 26" xfId="132" xr:uid="{00000000-0005-0000-0000-0000C3000000}"/>
    <cellStyle name="Normal 26 2" xfId="182" xr:uid="{00000000-0005-0000-0000-0000C4000000}"/>
    <cellStyle name="Normal 27" xfId="138" xr:uid="{00000000-0005-0000-0000-0000C5000000}"/>
    <cellStyle name="Normal 27 2" xfId="183" xr:uid="{00000000-0005-0000-0000-0000C6000000}"/>
    <cellStyle name="Normal 28" xfId="139" xr:uid="{00000000-0005-0000-0000-0000C7000000}"/>
    <cellStyle name="Normal 28 2" xfId="184" xr:uid="{00000000-0005-0000-0000-0000C8000000}"/>
    <cellStyle name="Normal 29" xfId="140" xr:uid="{00000000-0005-0000-0000-0000C9000000}"/>
    <cellStyle name="Normal 3" xfId="97" xr:uid="{00000000-0005-0000-0000-0000CA000000}"/>
    <cellStyle name="Normal 3 2" xfId="98" xr:uid="{00000000-0005-0000-0000-0000CB000000}"/>
    <cellStyle name="Normal 3 2 2" xfId="160" xr:uid="{00000000-0005-0000-0000-0000CC000000}"/>
    <cellStyle name="Normal 3 2 2 2" xfId="255" xr:uid="{00000000-0005-0000-0000-0000CD000000}"/>
    <cellStyle name="Normal 3 2 2 3" xfId="256" xr:uid="{00000000-0005-0000-0000-0000CE000000}"/>
    <cellStyle name="Normal 3 2 2 4" xfId="257" xr:uid="{00000000-0005-0000-0000-0000CF000000}"/>
    <cellStyle name="Normal 3 2 3" xfId="145" xr:uid="{00000000-0005-0000-0000-0000D0000000}"/>
    <cellStyle name="Normal 3 2 4" xfId="258" xr:uid="{00000000-0005-0000-0000-0000D1000000}"/>
    <cellStyle name="Normal 3 2 5" xfId="259" xr:uid="{00000000-0005-0000-0000-0000D2000000}"/>
    <cellStyle name="Normal 3 2_Clark Co. Regulated - Price Out" xfId="254" xr:uid="{00000000-0005-0000-0000-0000D3000000}"/>
    <cellStyle name="Normal 3 3" xfId="152" xr:uid="{00000000-0005-0000-0000-0000D4000000}"/>
    <cellStyle name="Normal 3 3 2" xfId="260" xr:uid="{00000000-0005-0000-0000-0000D5000000}"/>
    <cellStyle name="Normal 3 3 3" xfId="261" xr:uid="{00000000-0005-0000-0000-0000D6000000}"/>
    <cellStyle name="Normal 3 3 4" xfId="262" xr:uid="{00000000-0005-0000-0000-0000D7000000}"/>
    <cellStyle name="Normal 3 4" xfId="141" xr:uid="{00000000-0005-0000-0000-0000D8000000}"/>
    <cellStyle name="Normal 3 5" xfId="191" xr:uid="{00000000-0005-0000-0000-0000D9000000}"/>
    <cellStyle name="Normal 3 6" xfId="263" xr:uid="{00000000-0005-0000-0000-0000DA000000}"/>
    <cellStyle name="Normal 3 7" xfId="264" xr:uid="{00000000-0005-0000-0000-0000DB000000}"/>
    <cellStyle name="Normal 3_70148 Region Allocation" xfId="99" xr:uid="{00000000-0005-0000-0000-0000DC000000}"/>
    <cellStyle name="Normal 30" xfId="164" xr:uid="{00000000-0005-0000-0000-0000DD000000}"/>
    <cellStyle name="Normal 31" xfId="168" xr:uid="{00000000-0005-0000-0000-0000DE000000}"/>
    <cellStyle name="Normal 32" xfId="169" xr:uid="{00000000-0005-0000-0000-0000DF000000}"/>
    <cellStyle name="Normal 33" xfId="170" xr:uid="{00000000-0005-0000-0000-0000E0000000}"/>
    <cellStyle name="Normal 34" xfId="172" xr:uid="{00000000-0005-0000-0000-0000E1000000}"/>
    <cellStyle name="Normal 34 2" xfId="185" xr:uid="{00000000-0005-0000-0000-0000E2000000}"/>
    <cellStyle name="Normal 35" xfId="174" xr:uid="{00000000-0005-0000-0000-0000E3000000}"/>
    <cellStyle name="Normal 35 2" xfId="175" xr:uid="{00000000-0005-0000-0000-0000E4000000}"/>
    <cellStyle name="Normal 36" xfId="187" xr:uid="{00000000-0005-0000-0000-0000E5000000}"/>
    <cellStyle name="Normal 37" xfId="188" xr:uid="{00000000-0005-0000-0000-0000E6000000}"/>
    <cellStyle name="Normal 38" xfId="283" xr:uid="{F5906916-83CA-49FD-AD7D-8B8C6373E399}"/>
    <cellStyle name="Normal 4" xfId="100" xr:uid="{00000000-0005-0000-0000-0000E7000000}"/>
    <cellStyle name="Normal 4 2" xfId="133" xr:uid="{00000000-0005-0000-0000-0000E8000000}"/>
    <cellStyle name="Normal 4 2 2" xfId="161" xr:uid="{00000000-0005-0000-0000-0000E9000000}"/>
    <cellStyle name="Normal 4 2 2 2" xfId="266" xr:uid="{00000000-0005-0000-0000-0000EA000000}"/>
    <cellStyle name="Normal 4 2 2 3" xfId="267" xr:uid="{00000000-0005-0000-0000-0000EB000000}"/>
    <cellStyle name="Normal 4 2 2 4" xfId="268" xr:uid="{00000000-0005-0000-0000-0000EC000000}"/>
    <cellStyle name="Normal 4 2 3" xfId="269" xr:uid="{00000000-0005-0000-0000-0000ED000000}"/>
    <cellStyle name="Normal 4 2 4" xfId="270" xr:uid="{00000000-0005-0000-0000-0000EE000000}"/>
    <cellStyle name="Normal 4 2 5" xfId="271" xr:uid="{00000000-0005-0000-0000-0000EF000000}"/>
    <cellStyle name="Normal 4 3" xfId="153" xr:uid="{00000000-0005-0000-0000-0000F0000000}"/>
    <cellStyle name="Normal 4 3 2" xfId="272" xr:uid="{00000000-0005-0000-0000-0000F1000000}"/>
    <cellStyle name="Normal 4 3 3" xfId="273" xr:uid="{00000000-0005-0000-0000-0000F2000000}"/>
    <cellStyle name="Normal 4 3 4" xfId="274" xr:uid="{00000000-0005-0000-0000-0000F3000000}"/>
    <cellStyle name="Normal 4 4" xfId="189" xr:uid="{00000000-0005-0000-0000-0000F4000000}"/>
    <cellStyle name="Normal 4 5" xfId="275" xr:uid="{00000000-0005-0000-0000-0000F5000000}"/>
    <cellStyle name="Normal 4 6" xfId="276" xr:uid="{00000000-0005-0000-0000-0000F6000000}"/>
    <cellStyle name="Normal 4_Clark Co. Regulated - Price Out" xfId="265" xr:uid="{00000000-0005-0000-0000-0000F7000000}"/>
    <cellStyle name="Normal 5" xfId="101" xr:uid="{00000000-0005-0000-0000-0000F8000000}"/>
    <cellStyle name="Normal 5 2" xfId="102" xr:uid="{00000000-0005-0000-0000-0000F9000000}"/>
    <cellStyle name="Normal 5_2183 UTC Depreciation 3 31 2012 Heather 6-6-2012" xfId="103" xr:uid="{00000000-0005-0000-0000-0000FA000000}"/>
    <cellStyle name="Normal 6" xfId="104" xr:uid="{00000000-0005-0000-0000-0000FB000000}"/>
    <cellStyle name="Normal 6 2" xfId="154" xr:uid="{00000000-0005-0000-0000-0000FC000000}"/>
    <cellStyle name="Normal 6 2 2" xfId="278" xr:uid="{00000000-0005-0000-0000-0000FD000000}"/>
    <cellStyle name="Normal 6 2 3" xfId="279" xr:uid="{00000000-0005-0000-0000-0000FE000000}"/>
    <cellStyle name="Normal 6 2 4" xfId="280" xr:uid="{00000000-0005-0000-0000-0000FF000000}"/>
    <cellStyle name="Normal 6 3" xfId="142" xr:uid="{00000000-0005-0000-0000-000000010000}"/>
    <cellStyle name="Normal 6 4" xfId="281" xr:uid="{00000000-0005-0000-0000-000001010000}"/>
    <cellStyle name="Normal 6 5" xfId="282" xr:uid="{00000000-0005-0000-0000-000002010000}"/>
    <cellStyle name="Normal 6_Clark Co. Regulated - Price Out" xfId="277" xr:uid="{00000000-0005-0000-0000-000003010000}"/>
    <cellStyle name="Normal 7" xfId="105" xr:uid="{00000000-0005-0000-0000-000004010000}"/>
    <cellStyle name="Normal 7 2" xfId="162" xr:uid="{00000000-0005-0000-0000-000005010000}"/>
    <cellStyle name="Normal 8" xfId="106" xr:uid="{00000000-0005-0000-0000-000006010000}"/>
    <cellStyle name="Normal 9" xfId="107" xr:uid="{00000000-0005-0000-0000-000007010000}"/>
    <cellStyle name="Normal_2183 Regulated Price Out Final 6-7-2012" xfId="4" xr:uid="{00000000-0005-0000-0000-000008010000}"/>
    <cellStyle name="Normal_Regulated Price Out 9-6-2011 Final HL" xfId="3" xr:uid="{00000000-0005-0000-0000-00000A010000}"/>
    <cellStyle name="Note 2" xfId="108" xr:uid="{00000000-0005-0000-0000-00000E010000}"/>
    <cellStyle name="Notes" xfId="109" xr:uid="{00000000-0005-0000-0000-00000F010000}"/>
    <cellStyle name="Percent" xfId="124" builtinId="5"/>
    <cellStyle name="Percent 2" xfId="110" xr:uid="{00000000-0005-0000-0000-000011010000}"/>
    <cellStyle name="Percent 2 2" xfId="111" xr:uid="{00000000-0005-0000-0000-000012010000}"/>
    <cellStyle name="Percent 3" xfId="112" xr:uid="{00000000-0005-0000-0000-000013010000}"/>
    <cellStyle name="Percent 4" xfId="113" xr:uid="{00000000-0005-0000-0000-000014010000}"/>
    <cellStyle name="Percent 5" xfId="171" xr:uid="{00000000-0005-0000-0000-000015010000}"/>
    <cellStyle name="Percent 5 4" xfId="166" xr:uid="{00000000-0005-0000-0000-000016010000}"/>
    <cellStyle name="Percent(1)" xfId="114" xr:uid="{00000000-0005-0000-0000-000017010000}"/>
    <cellStyle name="Percent(2)" xfId="115" xr:uid="{00000000-0005-0000-0000-000018010000}"/>
    <cellStyle name="PRM" xfId="116" xr:uid="{00000000-0005-0000-0000-000019010000}"/>
    <cellStyle name="PSChar" xfId="117" xr:uid="{00000000-0005-0000-0000-00001A010000}"/>
    <cellStyle name="PSHeading" xfId="118" xr:uid="{00000000-0005-0000-0000-00001B010000}"/>
    <cellStyle name="Style 1" xfId="119" xr:uid="{00000000-0005-0000-0000-00001C010000}"/>
    <cellStyle name="STYLE1" xfId="120" xr:uid="{00000000-0005-0000-0000-00001D010000}"/>
    <cellStyle name="Total 2" xfId="121" xr:uid="{00000000-0005-0000-0000-00001E01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99"/>
      <color rgb="FF3366FF"/>
      <color rgb="FF99FF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sheetPr>
  <dimension ref="A1:S51"/>
  <sheetViews>
    <sheetView showGridLines="0" tabSelected="1" view="pageBreakPreview" zoomScale="60" zoomScaleNormal="100" workbookViewId="0">
      <selection activeCell="D21" sqref="D21"/>
    </sheetView>
  </sheetViews>
  <sheetFormatPr defaultRowHeight="15" x14ac:dyDescent="0.25"/>
  <cols>
    <col min="1" max="1" width="22.140625" customWidth="1"/>
    <col min="2" max="2" width="17.5703125" customWidth="1"/>
    <col min="3" max="3" width="14.28515625" customWidth="1"/>
    <col min="4" max="4" width="12.7109375" customWidth="1"/>
    <col min="5" max="5" width="13.5703125" customWidth="1"/>
    <col min="6" max="6" width="14.42578125" customWidth="1"/>
    <col min="7" max="8" width="15" customWidth="1"/>
    <col min="9" max="9" width="14.5703125" customWidth="1"/>
    <col min="10" max="10" width="18.28515625" bestFit="1" customWidth="1"/>
    <col min="11" max="11" width="1.5703125" customWidth="1"/>
    <col min="12" max="12" width="16.28515625" bestFit="1" customWidth="1"/>
    <col min="13" max="13" width="22.42578125" customWidth="1"/>
    <col min="14" max="14" width="65.140625" customWidth="1"/>
    <col min="15" max="15" width="19.140625" bestFit="1" customWidth="1"/>
    <col min="16" max="16" width="16.28515625" bestFit="1" customWidth="1"/>
    <col min="17" max="17" width="6.42578125" customWidth="1"/>
    <col min="18" max="18" width="5.42578125" customWidth="1"/>
    <col min="19" max="19" width="2.28515625" hidden="1" customWidth="1"/>
    <col min="20" max="20" width="27.140625" customWidth="1"/>
    <col min="22" max="22" width="15.28515625" bestFit="1" customWidth="1"/>
    <col min="24" max="24" width="15.28515625" bestFit="1" customWidth="1"/>
    <col min="26" max="26" width="16.42578125" customWidth="1"/>
  </cols>
  <sheetData>
    <row r="1" spans="1:15" x14ac:dyDescent="0.25">
      <c r="A1" s="33" t="s">
        <v>44</v>
      </c>
    </row>
    <row r="2" spans="1:15" x14ac:dyDescent="0.25">
      <c r="A2" s="33" t="s">
        <v>37</v>
      </c>
      <c r="C2" s="2" t="s">
        <v>1371</v>
      </c>
    </row>
    <row r="4" spans="1:15" ht="30" x14ac:dyDescent="0.25">
      <c r="A4" s="122"/>
      <c r="B4" s="123" t="s">
        <v>997</v>
      </c>
      <c r="C4" s="123" t="s">
        <v>1004</v>
      </c>
      <c r="D4" s="123" t="s">
        <v>998</v>
      </c>
      <c r="E4" s="123" t="s">
        <v>999</v>
      </c>
      <c r="F4" s="123" t="s">
        <v>1000</v>
      </c>
      <c r="G4" s="123" t="s">
        <v>1001</v>
      </c>
      <c r="H4" s="123" t="s">
        <v>1002</v>
      </c>
      <c r="I4" s="123" t="s">
        <v>1054</v>
      </c>
      <c r="J4" s="123" t="s">
        <v>36</v>
      </c>
      <c r="K4" s="124"/>
      <c r="L4" s="123" t="s">
        <v>38</v>
      </c>
      <c r="M4" s="125" t="s">
        <v>39</v>
      </c>
    </row>
    <row r="5" spans="1:15" x14ac:dyDescent="0.25">
      <c r="A5" s="126" t="s">
        <v>30</v>
      </c>
      <c r="B5" s="127">
        <f>+'Clark Co. Regulated - Price Out'!S72</f>
        <v>17665521.59500001</v>
      </c>
      <c r="C5" s="127"/>
      <c r="D5" s="127">
        <f>+'Camas Non-Reg - Price Out'!U23</f>
        <v>4526.6099999999997</v>
      </c>
      <c r="E5" s="127">
        <f>'Ridgefield Non-Reg - Price Out '!U51</f>
        <v>1425692.9499999997</v>
      </c>
      <c r="F5" s="127">
        <f>'Vancouver Non-Reg - Price Out'!U70</f>
        <v>17398715.789999995</v>
      </c>
      <c r="G5" s="127">
        <f>'Washougal Non-Reg - Price Out'!U45</f>
        <v>1746613.0400000003</v>
      </c>
      <c r="H5" s="127"/>
      <c r="I5" s="127"/>
      <c r="J5" s="133">
        <f>SUM(B5:I5)</f>
        <v>38241069.985000007</v>
      </c>
      <c r="K5" s="127"/>
      <c r="L5" s="127">
        <v>38263736.390000001</v>
      </c>
      <c r="M5" s="128">
        <f>J5-L5</f>
        <v>-22666.404999993742</v>
      </c>
      <c r="N5" s="137"/>
      <c r="O5" s="94" t="s">
        <v>1374</v>
      </c>
    </row>
    <row r="6" spans="1:15" x14ac:dyDescent="0.25">
      <c r="A6" s="126" t="s">
        <v>1003</v>
      </c>
      <c r="B6" s="127"/>
      <c r="C6" s="127">
        <f>+'UTC Non-Reg Svc - Price Out '!T38</f>
        <v>7468346.7849999992</v>
      </c>
      <c r="D6" s="127">
        <f>+'Camas Non-Reg - Price Out'!U34</f>
        <v>806020.44</v>
      </c>
      <c r="E6" s="127">
        <f>'Ridgefield Non-Reg - Price Out '!U64</f>
        <v>341919.61000000004</v>
      </c>
      <c r="F6" s="127">
        <f>'Vancouver Non-Reg - Price Out'!U96</f>
        <v>3079916.68</v>
      </c>
      <c r="G6" s="127">
        <f>'Washougal Non-Reg - Price Out'!U61</f>
        <v>447348.78</v>
      </c>
      <c r="H6" s="127"/>
      <c r="I6" s="127"/>
      <c r="J6" s="133">
        <f t="shared" ref="J6:J15" si="0">SUM(B6:I6)</f>
        <v>12143552.294999998</v>
      </c>
      <c r="K6" s="127"/>
      <c r="L6" s="127">
        <v>13472884.330000002</v>
      </c>
      <c r="M6" s="128">
        <f>J6-L6</f>
        <v>-1329332.0350000039</v>
      </c>
      <c r="N6" s="137"/>
      <c r="O6">
        <v>32100</v>
      </c>
    </row>
    <row r="7" spans="1:15" x14ac:dyDescent="0.25">
      <c r="A7" s="126" t="s">
        <v>31</v>
      </c>
      <c r="B7" s="127"/>
      <c r="C7" s="127">
        <f>+'UTC Non-Reg Svc - Price Out '!T65</f>
        <v>3570326.14</v>
      </c>
      <c r="D7" s="127">
        <f>+'Camas Non-Reg - Price Out'!U46</f>
        <v>373881.82</v>
      </c>
      <c r="E7" s="127">
        <f>'Ridgefield Non-Reg - Price Out '!U78</f>
        <v>317684.48999999993</v>
      </c>
      <c r="F7" s="127">
        <f>'Vancouver Non-Reg - Price Out'!U121</f>
        <v>3057913.7899999986</v>
      </c>
      <c r="G7" s="127">
        <f>'Washougal Non-Reg - Price Out'!U80</f>
        <v>285666.745</v>
      </c>
      <c r="H7" s="127"/>
      <c r="I7" s="127"/>
      <c r="J7" s="133">
        <f t="shared" si="0"/>
        <v>7605472.9849999985</v>
      </c>
      <c r="K7" s="127"/>
      <c r="L7" s="127">
        <v>7606300.6500000004</v>
      </c>
      <c r="M7" s="128">
        <f t="shared" ref="M7:M15" si="1">J7-L7</f>
        <v>-827.6650000018999</v>
      </c>
      <c r="N7" s="137"/>
      <c r="O7" s="94" t="s">
        <v>1375</v>
      </c>
    </row>
    <row r="8" spans="1:15" x14ac:dyDescent="0.25">
      <c r="A8" s="126" t="s">
        <v>32</v>
      </c>
      <c r="B8" s="127">
        <f>+'Clark Co. Regulated - Price Out'!S195</f>
        <v>8109306.7700000014</v>
      </c>
      <c r="C8" s="127"/>
      <c r="D8" s="127">
        <f>+'Camas Non-Reg - Price Out'!U61</f>
        <v>9824.6499999999978</v>
      </c>
      <c r="E8" s="127">
        <f>'Ridgefield Non-Reg - Price Out '!U123</f>
        <v>515213.67999999988</v>
      </c>
      <c r="F8" s="127">
        <f>'Vancouver Non-Reg - Price Out'!U257</f>
        <v>17840251.199999999</v>
      </c>
      <c r="G8" s="127">
        <f>'Washougal Non-Reg - Price Out'!U140</f>
        <v>840234.91000000027</v>
      </c>
      <c r="H8" s="127">
        <f>'West Van Non-Reg - Price Out'!T15</f>
        <v>858.28000000000009</v>
      </c>
      <c r="I8" s="127"/>
      <c r="J8" s="133">
        <f t="shared" si="0"/>
        <v>27315689.490000002</v>
      </c>
      <c r="K8" s="127"/>
      <c r="L8" s="127">
        <v>27332326.050000001</v>
      </c>
      <c r="M8" s="128">
        <f t="shared" si="1"/>
        <v>-16636.559999998659</v>
      </c>
      <c r="N8" s="137"/>
      <c r="O8" s="94" t="s">
        <v>1376</v>
      </c>
    </row>
    <row r="9" spans="1:15" x14ac:dyDescent="0.25">
      <c r="A9" s="126" t="s">
        <v>33</v>
      </c>
      <c r="B9" s="127"/>
      <c r="C9" s="127"/>
      <c r="D9" s="127"/>
      <c r="E9" s="127"/>
      <c r="F9" s="127"/>
      <c r="G9" s="127"/>
      <c r="H9" s="127"/>
      <c r="I9" s="127"/>
      <c r="J9" s="133">
        <f t="shared" si="0"/>
        <v>0</v>
      </c>
      <c r="K9" s="127"/>
      <c r="L9" s="127">
        <v>0</v>
      </c>
      <c r="M9" s="128">
        <f t="shared" si="1"/>
        <v>0</v>
      </c>
      <c r="N9" s="137"/>
      <c r="O9" s="94"/>
    </row>
    <row r="10" spans="1:15" x14ac:dyDescent="0.25">
      <c r="A10" s="126" t="s">
        <v>1005</v>
      </c>
      <c r="B10" s="127"/>
      <c r="C10" s="127">
        <f>+'UTC Non-Reg Svc - Price Out '!T45</f>
        <v>636343.06000000006</v>
      </c>
      <c r="D10" s="127"/>
      <c r="E10" s="127"/>
      <c r="F10" s="127">
        <f>'Vancouver Non-Reg - Price Out'!U103</f>
        <v>641932.11</v>
      </c>
      <c r="G10" s="127">
        <f>'Washougal Non-Reg - Price Out'!U68</f>
        <v>40811.180000000008</v>
      </c>
      <c r="H10" s="127"/>
      <c r="I10" s="127"/>
      <c r="J10" s="133">
        <f t="shared" si="0"/>
        <v>1319086.3499999999</v>
      </c>
      <c r="K10" s="127"/>
      <c r="L10" s="127"/>
      <c r="M10" s="128">
        <f t="shared" si="1"/>
        <v>1319086.3499999999</v>
      </c>
      <c r="N10" s="137" t="s">
        <v>1313</v>
      </c>
      <c r="O10" s="94"/>
    </row>
    <row r="11" spans="1:15" x14ac:dyDescent="0.25">
      <c r="A11" s="126" t="s">
        <v>40</v>
      </c>
      <c r="B11" s="127"/>
      <c r="C11" s="127">
        <f>+'UTC Non-Reg Svc - Price Out '!T182</f>
        <v>1990278.8500000003</v>
      </c>
      <c r="D11" s="127">
        <f>+'Camas Non-Reg - Price Out'!U116</f>
        <v>240575.06999999989</v>
      </c>
      <c r="E11" s="127">
        <f>'Ridgefield Non-Reg - Price Out '!U180</f>
        <v>158963.19000000003</v>
      </c>
      <c r="F11" s="127">
        <f>'Vancouver Non-Reg - Price Out'!U361</f>
        <v>3124996.57</v>
      </c>
      <c r="G11" s="127">
        <f>'Washougal Non-Reg - Price Out'!U190</f>
        <v>206633.85999999996</v>
      </c>
      <c r="H11" s="127">
        <f>'West Van Non-Reg - Price Out'!T39</f>
        <v>13873.46</v>
      </c>
      <c r="I11" s="127">
        <f>+'Shred Non-Reg - Price Out'!Q40</f>
        <v>636552.76</v>
      </c>
      <c r="J11" s="133">
        <f>SUM(B11:I11)</f>
        <v>6371873.7599999998</v>
      </c>
      <c r="K11" s="127"/>
      <c r="L11" s="127">
        <v>6356369.54</v>
      </c>
      <c r="M11" s="128">
        <f t="shared" si="1"/>
        <v>15504.219999999739</v>
      </c>
      <c r="N11" s="137"/>
      <c r="O11" s="94" t="s">
        <v>1377</v>
      </c>
    </row>
    <row r="12" spans="1:15" x14ac:dyDescent="0.25">
      <c r="A12" s="126" t="s">
        <v>34</v>
      </c>
      <c r="B12" s="127">
        <f>+'Clark Co. Regulated - Price Out'!S266</f>
        <v>1898071.5999999996</v>
      </c>
      <c r="C12" s="127"/>
      <c r="D12" s="127">
        <f>+'Camas Non-Reg - Price Out'!U139</f>
        <v>158001.13000000003</v>
      </c>
      <c r="E12" s="127">
        <f>'Ridgefield Non-Reg - Price Out '!U220</f>
        <v>351340.51999999996</v>
      </c>
      <c r="F12" s="127">
        <f>'Vancouver Non-Reg - Price Out'!U418</f>
        <v>3158149.3199999989</v>
      </c>
      <c r="G12" s="127">
        <f>'Washougal Non-Reg - Price Out'!U210</f>
        <v>421237.47000000003</v>
      </c>
      <c r="H12" s="127">
        <f>'West Van Non-Reg - Price Out'!T45</f>
        <v>0</v>
      </c>
      <c r="I12" s="127"/>
      <c r="J12" s="133">
        <f t="shared" si="0"/>
        <v>5986800.0399999982</v>
      </c>
      <c r="K12" s="127"/>
      <c r="L12" s="127">
        <v>6044999.1300000008</v>
      </c>
      <c r="M12" s="128">
        <f>J12-L12</f>
        <v>-58199.090000002645</v>
      </c>
      <c r="N12" s="137" t="s">
        <v>1369</v>
      </c>
      <c r="O12" s="94" t="s">
        <v>1378</v>
      </c>
    </row>
    <row r="13" spans="1:15" x14ac:dyDescent="0.25">
      <c r="A13" s="126" t="s">
        <v>1008</v>
      </c>
      <c r="B13" s="127"/>
      <c r="C13" s="127">
        <f>+'UTC Non-Reg Svc - Price Out '!T211</f>
        <v>279287.43</v>
      </c>
      <c r="D13" s="127">
        <f>+'Camas Non-Reg - Price Out'!U149</f>
        <v>85485.87</v>
      </c>
      <c r="E13" s="127">
        <f>'Ridgefield Non-Reg - Price Out '!U228</f>
        <v>43489.110000000008</v>
      </c>
      <c r="F13" s="127">
        <f>'Vancouver Non-Reg - Price Out'!U434</f>
        <v>512612.50999999995</v>
      </c>
      <c r="G13" s="127">
        <f>'Washougal Non-Reg - Price Out'!U222</f>
        <v>51669.130000000005</v>
      </c>
      <c r="H13" s="127">
        <f>'West Van Non-Reg - Price Out'!T49</f>
        <v>0</v>
      </c>
      <c r="I13" s="127"/>
      <c r="J13" s="133">
        <f t="shared" si="0"/>
        <v>972544.04999999993</v>
      </c>
      <c r="K13" s="127"/>
      <c r="L13" s="127">
        <v>923723.9</v>
      </c>
      <c r="M13" s="128">
        <f t="shared" si="1"/>
        <v>48820.149999999907</v>
      </c>
      <c r="N13" s="137" t="s">
        <v>1369</v>
      </c>
      <c r="O13" s="94">
        <v>31004</v>
      </c>
    </row>
    <row r="14" spans="1:15" x14ac:dyDescent="0.25">
      <c r="A14" s="126" t="s">
        <v>35</v>
      </c>
      <c r="B14" s="127">
        <f>+'Clark Co. Regulated - Price Out'!S281</f>
        <v>3065205.5100000002</v>
      </c>
      <c r="C14" s="127">
        <f>+'UTC Non-Reg Svc - Price Out '!T224</f>
        <v>100801.37999999999</v>
      </c>
      <c r="D14" s="127">
        <f>+'Camas Non-Reg - Price Out'!U161</f>
        <v>363202.69000000006</v>
      </c>
      <c r="E14" s="127">
        <f>'Ridgefield Non-Reg - Price Out '!U240</f>
        <v>530338.29</v>
      </c>
      <c r="F14" s="127">
        <f>'Vancouver Non-Reg - Price Out'!U448</f>
        <v>4771261.1499999994</v>
      </c>
      <c r="G14" s="127">
        <f>'Washougal Non-Reg - Price Out'!U233</f>
        <v>306994.48</v>
      </c>
      <c r="H14" s="127">
        <f>'West Van Non-Reg - Price Out'!T53</f>
        <v>0</v>
      </c>
      <c r="I14" s="127"/>
      <c r="J14" s="133">
        <f t="shared" si="0"/>
        <v>9137803.5</v>
      </c>
      <c r="K14" s="129"/>
      <c r="L14" s="127">
        <v>9116682.0800000001</v>
      </c>
      <c r="M14" s="128">
        <f t="shared" si="1"/>
        <v>21121.419999999925</v>
      </c>
      <c r="N14" s="139"/>
      <c r="O14" s="94">
        <v>31005</v>
      </c>
    </row>
    <row r="15" spans="1:15" x14ac:dyDescent="0.25">
      <c r="A15" s="126" t="s">
        <v>18</v>
      </c>
      <c r="B15" s="130">
        <f>+'Clark Co. Regulated - Price Out'!S290</f>
        <v>47732.54</v>
      </c>
      <c r="C15" s="130">
        <f ca="1">+'UTC Non-Reg Svc - Price Out '!T229</f>
        <v>0</v>
      </c>
      <c r="D15" s="130">
        <f>+'Camas Non-Reg - Price Out'!U166</f>
        <v>0</v>
      </c>
      <c r="E15" s="130">
        <f>'Ridgefield Non-Reg - Price Out '!U245</f>
        <v>4.6399999999999997</v>
      </c>
      <c r="F15" s="130">
        <f>'Vancouver Non-Reg - Price Out'!U453</f>
        <v>21068.86</v>
      </c>
      <c r="G15" s="130">
        <f>'Washougal Non-Reg - Price Out'!U238</f>
        <v>2.11</v>
      </c>
      <c r="H15" s="130">
        <f>+'West Van Non-Reg - Price Out'!T58</f>
        <v>0</v>
      </c>
      <c r="I15" s="130"/>
      <c r="J15" s="130">
        <f t="shared" ca="1" si="0"/>
        <v>68808.150000000009</v>
      </c>
      <c r="K15" s="130"/>
      <c r="L15" s="130">
        <v>70226.099999999991</v>
      </c>
      <c r="M15" s="131">
        <f t="shared" ca="1" si="1"/>
        <v>-1417.9499999999825</v>
      </c>
      <c r="N15" s="138"/>
      <c r="O15" s="94"/>
    </row>
    <row r="16" spans="1:15" x14ac:dyDescent="0.25">
      <c r="A16" s="132"/>
      <c r="B16" s="133">
        <f t="shared" ref="B16:J16" si="2">SUM(B5:B15)</f>
        <v>30785838.015000012</v>
      </c>
      <c r="C16" s="133">
        <f t="shared" ca="1" si="2"/>
        <v>14045383.645</v>
      </c>
      <c r="D16" s="133">
        <f t="shared" si="2"/>
        <v>2041518.2799999998</v>
      </c>
      <c r="E16" s="127">
        <f t="shared" si="2"/>
        <v>3684646.4799999995</v>
      </c>
      <c r="F16" s="127">
        <f t="shared" si="2"/>
        <v>53606817.979999989</v>
      </c>
      <c r="G16" s="127">
        <f t="shared" si="2"/>
        <v>4347211.705000001</v>
      </c>
      <c r="H16" s="127">
        <f t="shared" si="2"/>
        <v>14731.74</v>
      </c>
      <c r="I16" s="127">
        <f t="shared" si="2"/>
        <v>636552.76</v>
      </c>
      <c r="J16" s="127">
        <f t="shared" ca="1" si="2"/>
        <v>109162700.60499999</v>
      </c>
      <c r="K16" s="127"/>
      <c r="L16" s="127">
        <f>SUM(L5:L15)</f>
        <v>109187248.17</v>
      </c>
      <c r="M16" s="127">
        <f ca="1">SUM(M5:M15)</f>
        <v>-24547.56500000137</v>
      </c>
    </row>
    <row r="17" spans="1:17" x14ac:dyDescent="0.25">
      <c r="B17" s="102">
        <f t="shared" ref="B17:I17" ca="1" si="3">+B16/$J$16</f>
        <v>0.28201792227912253</v>
      </c>
      <c r="C17" s="102">
        <f t="shared" ca="1" si="3"/>
        <v>0.12866467728590325</v>
      </c>
      <c r="D17" s="102">
        <f t="shared" ca="1" si="3"/>
        <v>1.870161024494196E-2</v>
      </c>
      <c r="E17" s="102">
        <f t="shared" ca="1" si="3"/>
        <v>3.3753713123429556E-2</v>
      </c>
      <c r="F17" s="102">
        <f t="shared" ca="1" si="3"/>
        <v>0.49107266202559147</v>
      </c>
      <c r="G17" s="102">
        <f t="shared" ca="1" si="3"/>
        <v>3.9823233402132278E-2</v>
      </c>
      <c r="H17" s="102">
        <f t="shared" ca="1" si="3"/>
        <v>1.3495213949777678E-4</v>
      </c>
      <c r="I17" s="102">
        <f t="shared" ca="1" si="3"/>
        <v>5.8312294993812562E-3</v>
      </c>
      <c r="J17" s="87"/>
      <c r="M17" s="88"/>
    </row>
    <row r="18" spans="1:17" x14ac:dyDescent="0.25">
      <c r="A18" s="150"/>
      <c r="B18" s="205">
        <f>+'Clark Co. Regulated - Price Out'!S292-'Revenue Summary'!B16</f>
        <v>0</v>
      </c>
      <c r="D18" s="94"/>
      <c r="E18" s="94"/>
      <c r="F18" s="94"/>
      <c r="G18" s="94"/>
      <c r="H18" s="94"/>
      <c r="I18" s="151"/>
      <c r="J18" s="94"/>
      <c r="M18" s="102">
        <f ca="1">+M16/L16</f>
        <v>-2.2482080473153635E-4</v>
      </c>
      <c r="N18" t="s">
        <v>1102</v>
      </c>
    </row>
    <row r="19" spans="1:17" x14ac:dyDescent="0.25">
      <c r="B19" s="87"/>
      <c r="F19" s="102">
        <f>+F14/$J$14</f>
        <v>0.522145300016574</v>
      </c>
      <c r="L19" s="94"/>
    </row>
    <row r="20" spans="1:17" ht="75" customHeight="1" x14ac:dyDescent="0.25">
      <c r="A20" s="89"/>
      <c r="B20" s="89"/>
      <c r="I20" s="149" t="s">
        <v>1109</v>
      </c>
      <c r="J20" s="145">
        <v>40265</v>
      </c>
      <c r="M20" s="302"/>
    </row>
    <row r="21" spans="1:17" ht="148.5" customHeight="1" x14ac:dyDescent="0.25">
      <c r="A21" s="89"/>
      <c r="B21" s="89"/>
      <c r="I21" s="149"/>
      <c r="J21" s="145"/>
      <c r="M21" s="302"/>
    </row>
    <row r="22" spans="1:17" ht="32.25" customHeight="1" x14ac:dyDescent="0.25">
      <c r="A22" s="89"/>
      <c r="B22" s="89"/>
      <c r="I22" s="109"/>
      <c r="J22" s="145"/>
      <c r="L22" s="140"/>
      <c r="M22" s="89"/>
      <c r="N22" s="89"/>
    </row>
    <row r="23" spans="1:17" ht="32.25" customHeight="1" x14ac:dyDescent="0.25">
      <c r="A23" s="89"/>
      <c r="B23" s="89"/>
      <c r="I23" s="109">
        <v>32110</v>
      </c>
      <c r="J23" s="145"/>
      <c r="K23" s="116">
        <v>-7500</v>
      </c>
      <c r="L23" s="116"/>
    </row>
    <row r="24" spans="1:17" ht="32.25" customHeight="1" x14ac:dyDescent="0.25">
      <c r="A24" s="89"/>
      <c r="B24" s="89"/>
      <c r="I24" s="109">
        <v>32100</v>
      </c>
      <c r="J24" s="145"/>
      <c r="K24" s="116">
        <v>-9000</v>
      </c>
      <c r="L24" s="116"/>
    </row>
    <row r="25" spans="1:17" ht="32.25" customHeight="1" x14ac:dyDescent="0.25">
      <c r="A25" s="89"/>
      <c r="B25" s="152"/>
      <c r="C25" s="88"/>
      <c r="D25" s="88"/>
      <c r="I25" s="109">
        <v>32000</v>
      </c>
      <c r="J25" s="145"/>
      <c r="K25" s="116">
        <v>-17750</v>
      </c>
      <c r="L25" s="116"/>
    </row>
    <row r="26" spans="1:17" ht="32.25" customHeight="1" x14ac:dyDescent="0.25">
      <c r="A26" s="89"/>
      <c r="B26" s="152"/>
      <c r="C26" s="88"/>
      <c r="D26" s="88"/>
      <c r="I26" s="109">
        <v>32100</v>
      </c>
      <c r="J26" s="145"/>
      <c r="K26" s="116"/>
      <c r="L26" s="116"/>
    </row>
    <row r="27" spans="1:17" ht="32.25" customHeight="1" x14ac:dyDescent="0.25">
      <c r="A27" s="89"/>
      <c r="B27" s="152"/>
      <c r="C27" s="88"/>
      <c r="D27" s="88"/>
      <c r="I27" s="109">
        <v>32110</v>
      </c>
      <c r="J27" s="145"/>
      <c r="K27" s="116"/>
      <c r="L27" s="116"/>
    </row>
    <row r="28" spans="1:17" x14ac:dyDescent="0.25">
      <c r="B28" s="87"/>
      <c r="I28" s="121"/>
      <c r="J28" s="119"/>
      <c r="K28" s="120"/>
      <c r="L28" s="303"/>
      <c r="M28" s="303"/>
      <c r="N28" s="303"/>
      <c r="Q28" s="56"/>
    </row>
    <row r="29" spans="1:17" x14ac:dyDescent="0.25">
      <c r="B29" s="94"/>
      <c r="J29" s="87">
        <f ca="1">+SUM(J16:J27)</f>
        <v>109202965.60499999</v>
      </c>
      <c r="L29" s="88">
        <f>+SUM(L16)</f>
        <v>109187248.17</v>
      </c>
      <c r="M29" s="309">
        <f ca="1">+J29-L29</f>
        <v>15717.434999987483</v>
      </c>
      <c r="Q29" s="56"/>
    </row>
    <row r="30" spans="1:17" x14ac:dyDescent="0.25">
      <c r="M30" s="102">
        <f ca="1">+M29/L29</f>
        <v>1.4394936463199521E-4</v>
      </c>
      <c r="N30" t="s">
        <v>1115</v>
      </c>
      <c r="Q30" s="56"/>
    </row>
    <row r="31" spans="1:17" x14ac:dyDescent="0.25">
      <c r="Q31" s="56"/>
    </row>
    <row r="32" spans="1:17" x14ac:dyDescent="0.25">
      <c r="Q32" s="56"/>
    </row>
    <row r="34" spans="3:12" x14ac:dyDescent="0.25">
      <c r="L34" s="87"/>
    </row>
    <row r="45" spans="3:12" x14ac:dyDescent="0.25">
      <c r="C45" s="153"/>
    </row>
    <row r="46" spans="3:12" x14ac:dyDescent="0.25">
      <c r="C46" s="153"/>
    </row>
    <row r="47" spans="3:12" x14ac:dyDescent="0.25">
      <c r="C47" s="153"/>
    </row>
    <row r="48" spans="3:12" x14ac:dyDescent="0.25">
      <c r="C48" s="153"/>
    </row>
    <row r="49" spans="3:3" x14ac:dyDescent="0.25">
      <c r="C49" s="153"/>
    </row>
    <row r="50" spans="3:3" x14ac:dyDescent="0.25">
      <c r="C50" s="153"/>
    </row>
    <row r="51" spans="3:3" x14ac:dyDescent="0.25">
      <c r="C51" s="153"/>
    </row>
  </sheetData>
  <mergeCells count="1">
    <mergeCell ref="L28:N28"/>
  </mergeCells>
  <pageMargins left="0.7" right="0.7" top="0.75" bottom="0.75" header="0.3" footer="0.3"/>
  <pageSetup scale="61" orientation="landscape" r:id="rId1"/>
  <colBreaks count="1" manualBreakCount="1">
    <brk id="13" max="29"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theme="6" tint="0.59999389629810485"/>
  </sheetPr>
  <dimension ref="A1:AS68"/>
  <sheetViews>
    <sheetView showGridLines="0" view="pageBreakPreview" zoomScale="60" zoomScaleNormal="80" workbookViewId="0">
      <pane xSplit="7" ySplit="5" topLeftCell="H6" activePane="bottomRight" state="frozen"/>
      <selection activeCell="M20" sqref="M20"/>
      <selection pane="topRight" activeCell="M20" sqref="M20"/>
      <selection pane="bottomLeft" activeCell="M20" sqref="M20"/>
      <selection pane="bottomRight" activeCell="M20" sqref="M20"/>
    </sheetView>
  </sheetViews>
  <sheetFormatPr defaultRowHeight="15" outlineLevelCol="1" x14ac:dyDescent="0.25"/>
  <cols>
    <col min="2" max="2" width="24.85546875" customWidth="1"/>
    <col min="3" max="3" width="22.7109375" customWidth="1"/>
    <col min="4" max="4" width="29.140625" bestFit="1" customWidth="1"/>
    <col min="5" max="5" width="14.85546875" hidden="1" customWidth="1"/>
    <col min="6" max="6" width="14.85546875" bestFit="1" customWidth="1"/>
    <col min="7" max="7" width="2" customWidth="1"/>
    <col min="8" max="9" width="15" customWidth="1" outlineLevel="1"/>
    <col min="10" max="11" width="14.5703125" customWidth="1" outlineLevel="1"/>
    <col min="12" max="12" width="23" customWidth="1" outlineLevel="1"/>
    <col min="13" max="14" width="15" customWidth="1" outlineLevel="1"/>
    <col min="15" max="15" width="14.5703125" customWidth="1" outlineLevel="1"/>
    <col min="16" max="16" width="15" customWidth="1" outlineLevel="1"/>
    <col min="17" max="18" width="14.5703125" customWidth="1" outlineLevel="1"/>
    <col min="19" max="19" width="15" customWidth="1" outlineLevel="1"/>
    <col min="20" max="20" width="15.85546875" bestFit="1" customWidth="1"/>
    <col min="22" max="33" width="8.42578125" customWidth="1" outlineLevel="1"/>
    <col min="37" max="45" width="9.140625" customWidth="1" outlineLevel="1"/>
  </cols>
  <sheetData>
    <row r="1" spans="2:45" ht="12" customHeight="1" x14ac:dyDescent="0.25">
      <c r="C1" s="57" t="s">
        <v>45</v>
      </c>
      <c r="D1" s="1"/>
      <c r="E1" s="3"/>
      <c r="F1" s="3"/>
      <c r="G1" s="1"/>
      <c r="H1" s="1"/>
      <c r="I1" s="1"/>
      <c r="J1" s="118"/>
      <c r="K1" s="89"/>
      <c r="L1" s="1"/>
      <c r="M1" s="1"/>
      <c r="N1" s="1"/>
      <c r="O1" s="1"/>
      <c r="P1" s="1"/>
      <c r="Q1" s="1"/>
      <c r="R1" s="1"/>
      <c r="S1" s="1"/>
      <c r="T1" s="1"/>
      <c r="U1" s="1"/>
      <c r="V1" s="1"/>
      <c r="W1" s="1"/>
      <c r="X1" s="1"/>
      <c r="Y1" s="1"/>
      <c r="Z1" s="1"/>
      <c r="AA1" s="1"/>
      <c r="AB1" s="1"/>
      <c r="AC1" s="1"/>
      <c r="AD1" s="1"/>
      <c r="AE1" s="1"/>
      <c r="AF1" s="1"/>
      <c r="AG1" s="1"/>
    </row>
    <row r="2" spans="2:45" ht="12" customHeight="1" x14ac:dyDescent="0.25">
      <c r="C2" s="57" t="s">
        <v>996</v>
      </c>
      <c r="D2" s="1"/>
      <c r="E2" s="3"/>
      <c r="F2" s="3"/>
      <c r="G2" s="1"/>
      <c r="H2" s="1"/>
      <c r="I2" s="1"/>
      <c r="J2" s="118"/>
      <c r="K2" s="89"/>
      <c r="L2" s="1"/>
      <c r="M2" s="1"/>
      <c r="N2" s="1"/>
      <c r="O2" s="1"/>
      <c r="P2" s="1"/>
      <c r="Q2" s="1"/>
      <c r="R2" s="1"/>
      <c r="S2" s="1"/>
      <c r="T2" s="1"/>
      <c r="U2" s="1"/>
      <c r="V2" s="1"/>
      <c r="W2" s="1"/>
      <c r="X2" s="1"/>
      <c r="Y2" s="1"/>
      <c r="Z2" s="1"/>
      <c r="AA2" s="1"/>
      <c r="AB2" s="1"/>
      <c r="AC2" s="1"/>
      <c r="AD2" s="1"/>
      <c r="AE2" s="1"/>
      <c r="AF2" s="1"/>
      <c r="AG2" s="1"/>
    </row>
    <row r="3" spans="2:45" ht="12" customHeight="1" x14ac:dyDescent="0.25">
      <c r="C3" s="2" t="s">
        <v>1371</v>
      </c>
      <c r="D3" s="1"/>
      <c r="E3" s="3"/>
      <c r="F3" s="3"/>
      <c r="G3" s="1"/>
      <c r="H3" s="1"/>
      <c r="I3" s="1"/>
      <c r="J3" s="1"/>
      <c r="K3" s="4"/>
      <c r="L3" s="1"/>
      <c r="M3" s="1"/>
      <c r="N3" s="1"/>
      <c r="O3" s="1"/>
      <c r="P3" s="1"/>
      <c r="Q3" s="1"/>
      <c r="R3" s="1"/>
      <c r="S3" s="1"/>
      <c r="T3" s="1"/>
      <c r="U3" s="1"/>
      <c r="V3" s="1"/>
      <c r="W3" s="1"/>
      <c r="X3" s="1"/>
      <c r="Y3" s="1"/>
      <c r="Z3" s="1"/>
      <c r="AA3" s="1"/>
      <c r="AB3" s="1"/>
      <c r="AC3" s="1"/>
      <c r="AD3" s="1"/>
      <c r="AE3" s="1"/>
      <c r="AF3" s="1"/>
      <c r="AG3" s="1"/>
      <c r="AI3" s="45" t="s">
        <v>26</v>
      </c>
      <c r="AJ3" s="45"/>
    </row>
    <row r="4" spans="2:45" ht="12" customHeight="1" x14ac:dyDescent="0.25">
      <c r="C4" s="1"/>
      <c r="D4" s="5"/>
      <c r="E4" s="34">
        <v>2022</v>
      </c>
      <c r="F4" s="34">
        <v>2023</v>
      </c>
      <c r="G4" s="1"/>
      <c r="H4" s="199">
        <v>45017</v>
      </c>
      <c r="I4" s="199">
        <v>45047</v>
      </c>
      <c r="J4" s="199">
        <v>45078</v>
      </c>
      <c r="K4" s="199">
        <v>45108</v>
      </c>
      <c r="L4" s="199">
        <v>45139</v>
      </c>
      <c r="M4" s="199">
        <v>45170</v>
      </c>
      <c r="N4" s="199">
        <v>45200</v>
      </c>
      <c r="O4" s="199">
        <v>45231</v>
      </c>
      <c r="P4" s="199">
        <v>45261</v>
      </c>
      <c r="Q4" s="199">
        <v>45292</v>
      </c>
      <c r="R4" s="199">
        <v>45323</v>
      </c>
      <c r="S4" s="199">
        <v>45352</v>
      </c>
      <c r="T4" s="202" t="s">
        <v>1370</v>
      </c>
      <c r="U4" s="1"/>
      <c r="V4" s="199">
        <v>44927</v>
      </c>
      <c r="W4" s="199">
        <v>44958</v>
      </c>
      <c r="X4" s="199">
        <v>44986</v>
      </c>
      <c r="Y4" s="199">
        <v>45017</v>
      </c>
      <c r="Z4" s="199">
        <v>45047</v>
      </c>
      <c r="AA4" s="199">
        <v>45078</v>
      </c>
      <c r="AB4" s="199">
        <v>45108</v>
      </c>
      <c r="AC4" s="199">
        <v>45139</v>
      </c>
      <c r="AD4" s="199">
        <v>45170</v>
      </c>
      <c r="AE4" s="199">
        <v>45200</v>
      </c>
      <c r="AF4" s="199">
        <v>45231</v>
      </c>
      <c r="AG4" s="199">
        <v>45261</v>
      </c>
      <c r="AH4" s="200" t="s">
        <v>1333</v>
      </c>
      <c r="AI4" s="215" t="s">
        <v>1333</v>
      </c>
      <c r="AJ4" s="45"/>
      <c r="AL4" s="305" t="s">
        <v>1325</v>
      </c>
      <c r="AM4" s="306"/>
      <c r="AN4" s="305" t="s">
        <v>1326</v>
      </c>
      <c r="AO4" s="306"/>
      <c r="AP4" s="305" t="s">
        <v>1327</v>
      </c>
      <c r="AQ4" s="306"/>
      <c r="AR4" s="305" t="s">
        <v>1330</v>
      </c>
      <c r="AS4" s="306"/>
    </row>
    <row r="5" spans="2:45" ht="12" customHeight="1" x14ac:dyDescent="0.25">
      <c r="C5" s="6" t="s">
        <v>0</v>
      </c>
      <c r="D5" s="5" t="s">
        <v>1</v>
      </c>
      <c r="E5" s="35" t="s">
        <v>1305</v>
      </c>
      <c r="F5" s="35" t="s">
        <v>1305</v>
      </c>
      <c r="G5" s="5"/>
      <c r="H5" s="201" t="s">
        <v>21</v>
      </c>
      <c r="I5" s="201" t="s">
        <v>21</v>
      </c>
      <c r="J5" s="201" t="s">
        <v>21</v>
      </c>
      <c r="K5" s="201" t="s">
        <v>21</v>
      </c>
      <c r="L5" s="201" t="s">
        <v>21</v>
      </c>
      <c r="M5" s="201" t="s">
        <v>21</v>
      </c>
      <c r="N5" s="201" t="s">
        <v>21</v>
      </c>
      <c r="O5" s="201" t="s">
        <v>21</v>
      </c>
      <c r="P5" s="201" t="s">
        <v>21</v>
      </c>
      <c r="Q5" s="201" t="s">
        <v>21</v>
      </c>
      <c r="R5" s="201" t="s">
        <v>21</v>
      </c>
      <c r="S5" s="201" t="s">
        <v>21</v>
      </c>
      <c r="T5" s="201" t="s">
        <v>21</v>
      </c>
      <c r="U5" s="1"/>
      <c r="V5" s="201" t="s">
        <v>27</v>
      </c>
      <c r="W5" s="201" t="s">
        <v>27</v>
      </c>
      <c r="X5" s="201" t="s">
        <v>27</v>
      </c>
      <c r="Y5" s="201" t="s">
        <v>27</v>
      </c>
      <c r="Z5" s="201" t="s">
        <v>27</v>
      </c>
      <c r="AA5" s="201" t="s">
        <v>27</v>
      </c>
      <c r="AB5" s="201" t="s">
        <v>27</v>
      </c>
      <c r="AC5" s="201" t="s">
        <v>27</v>
      </c>
      <c r="AD5" s="201" t="s">
        <v>27</v>
      </c>
      <c r="AE5" s="201" t="s">
        <v>27</v>
      </c>
      <c r="AF5" s="201" t="s">
        <v>27</v>
      </c>
      <c r="AG5" s="201" t="s">
        <v>27</v>
      </c>
      <c r="AH5" s="201" t="s">
        <v>27</v>
      </c>
      <c r="AI5" s="216" t="s">
        <v>27</v>
      </c>
      <c r="AJ5" s="45"/>
      <c r="AL5" s="209" t="s">
        <v>1328</v>
      </c>
      <c r="AM5" s="210" t="s">
        <v>1329</v>
      </c>
      <c r="AN5" s="209" t="s">
        <v>1328</v>
      </c>
      <c r="AO5" s="210" t="s">
        <v>1329</v>
      </c>
      <c r="AP5" s="209" t="s">
        <v>1328</v>
      </c>
      <c r="AQ5" s="210" t="s">
        <v>1329</v>
      </c>
      <c r="AR5" s="209" t="s">
        <v>1328</v>
      </c>
      <c r="AS5" s="210" t="s">
        <v>1329</v>
      </c>
    </row>
    <row r="6" spans="2:45" ht="12" customHeight="1" x14ac:dyDescent="0.25">
      <c r="AI6" s="45"/>
      <c r="AJ6" s="45"/>
    </row>
    <row r="7" spans="2:45" ht="12" customHeight="1" x14ac:dyDescent="0.25">
      <c r="H7" s="45">
        <v>7</v>
      </c>
      <c r="I7" s="45">
        <v>8</v>
      </c>
      <c r="J7" s="45">
        <v>9</v>
      </c>
      <c r="K7" s="45">
        <v>10</v>
      </c>
      <c r="L7" s="45">
        <v>11</v>
      </c>
      <c r="M7" s="45">
        <v>12</v>
      </c>
      <c r="N7" s="45">
        <v>13</v>
      </c>
      <c r="O7" s="45">
        <v>14</v>
      </c>
      <c r="P7" s="45">
        <v>15</v>
      </c>
      <c r="Q7" s="45">
        <v>4</v>
      </c>
      <c r="R7" s="45">
        <v>5</v>
      </c>
      <c r="S7" s="45">
        <v>6</v>
      </c>
      <c r="AI7" s="45"/>
      <c r="AJ7" s="45"/>
    </row>
    <row r="8" spans="2:45" ht="12" customHeight="1" x14ac:dyDescent="0.25">
      <c r="H8" s="115">
        <v>0</v>
      </c>
      <c r="I8" s="115">
        <v>0</v>
      </c>
      <c r="J8" s="115">
        <v>0</v>
      </c>
      <c r="K8" s="115">
        <v>0</v>
      </c>
      <c r="L8" s="115">
        <v>0</v>
      </c>
      <c r="M8" s="115">
        <v>0</v>
      </c>
      <c r="N8" s="115">
        <v>0</v>
      </c>
      <c r="O8" s="115">
        <v>0</v>
      </c>
      <c r="P8" s="115">
        <v>0</v>
      </c>
      <c r="Q8" s="115">
        <v>0</v>
      </c>
      <c r="R8" s="115">
        <v>0</v>
      </c>
      <c r="S8" s="115">
        <v>0</v>
      </c>
      <c r="AI8" s="45"/>
      <c r="AJ8" s="45"/>
    </row>
    <row r="9" spans="2:45" ht="12" customHeight="1" x14ac:dyDescent="0.25">
      <c r="AI9" s="45"/>
      <c r="AJ9" s="45"/>
    </row>
    <row r="10" spans="2:45" s="1" customFormat="1" ht="12" customHeight="1" x14ac:dyDescent="0.2">
      <c r="B10" s="45"/>
      <c r="C10" s="45"/>
      <c r="D10" s="45"/>
      <c r="E10" s="53"/>
      <c r="F10" s="53"/>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0"/>
      <c r="AI10" s="45"/>
      <c r="AJ10" s="45"/>
    </row>
    <row r="11" spans="2:45" ht="12" customHeight="1" x14ac:dyDescent="0.25">
      <c r="B11" s="40"/>
      <c r="C11" s="70" t="s">
        <v>917</v>
      </c>
      <c r="D11" s="70" t="s">
        <v>917</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5"/>
      <c r="AJ11" s="45"/>
    </row>
    <row r="12" spans="2:45" s="262" customFormat="1" x14ac:dyDescent="0.25">
      <c r="B12" s="253" t="str">
        <f>"wvanc"&amp;"commercial"&amp;C12</f>
        <v>wvanccommercialOMC64WK</v>
      </c>
      <c r="C12" s="232" t="s">
        <v>1238</v>
      </c>
      <c r="D12" s="232" t="s">
        <v>1239</v>
      </c>
      <c r="E12" s="261" t="e">
        <v>#REF!</v>
      </c>
      <c r="F12" s="261">
        <v>19.600000000000001</v>
      </c>
      <c r="G12" s="274"/>
      <c r="H12" s="243">
        <v>137.19999999999999</v>
      </c>
      <c r="I12" s="243">
        <v>137.19999999999999</v>
      </c>
      <c r="J12" s="243">
        <v>137.19999999999999</v>
      </c>
      <c r="K12" s="243">
        <v>137.19999999999999</v>
      </c>
      <c r="L12" s="243">
        <v>137.19999999999999</v>
      </c>
      <c r="M12" s="243">
        <v>137.19999999999999</v>
      </c>
      <c r="N12" s="243">
        <v>0</v>
      </c>
      <c r="O12" s="243">
        <v>0</v>
      </c>
      <c r="P12" s="243">
        <v>0</v>
      </c>
      <c r="Q12" s="243">
        <v>0</v>
      </c>
      <c r="R12" s="243">
        <v>0</v>
      </c>
      <c r="S12" s="243">
        <v>0</v>
      </c>
      <c r="T12" s="276">
        <f>SUM(H12:S12)</f>
        <v>823.2</v>
      </c>
      <c r="U12" s="274"/>
      <c r="V12" s="264">
        <f>IFERROR(H12/$E12,0)</f>
        <v>0</v>
      </c>
      <c r="W12" s="264">
        <f t="shared" ref="W12:AD12" si="0">IFERROR(I12/$E12,0)</f>
        <v>0</v>
      </c>
      <c r="X12" s="264">
        <f t="shared" si="0"/>
        <v>0</v>
      </c>
      <c r="Y12" s="264">
        <f t="shared" si="0"/>
        <v>0</v>
      </c>
      <c r="Z12" s="264">
        <f t="shared" si="0"/>
        <v>0</v>
      </c>
      <c r="AA12" s="264">
        <f t="shared" si="0"/>
        <v>0</v>
      </c>
      <c r="AB12" s="264">
        <f t="shared" si="0"/>
        <v>0</v>
      </c>
      <c r="AC12" s="264">
        <f t="shared" si="0"/>
        <v>0</v>
      </c>
      <c r="AD12" s="264">
        <f t="shared" si="0"/>
        <v>0</v>
      </c>
      <c r="AE12" s="264">
        <f>IFERROR(Q12/$F12,0)</f>
        <v>0</v>
      </c>
      <c r="AF12" s="264">
        <f>IFERROR(R12/$F12,0)</f>
        <v>0</v>
      </c>
      <c r="AG12" s="264">
        <f>IFERROR(S12/$F12,0)</f>
        <v>0</v>
      </c>
      <c r="AH12" s="265">
        <f>+IFERROR(AVERAGE(V12:AG12),0)</f>
        <v>0</v>
      </c>
      <c r="AI12" s="266">
        <f>+SUM(V12:AG12)</f>
        <v>0</v>
      </c>
      <c r="AJ12" s="253"/>
      <c r="AL12" s="241">
        <v>1</v>
      </c>
      <c r="AM12" s="240">
        <f>+$AH12*AL12</f>
        <v>0</v>
      </c>
      <c r="AN12" s="241">
        <v>0</v>
      </c>
      <c r="AO12" s="240">
        <f>+$AH12*AN12</f>
        <v>0</v>
      </c>
      <c r="AP12" s="241">
        <v>0</v>
      </c>
      <c r="AQ12" s="240">
        <f t="shared" ref="AQ12:AS14" si="1">+$AH12*AP12</f>
        <v>0</v>
      </c>
      <c r="AR12" s="241">
        <v>0</v>
      </c>
      <c r="AS12" s="240">
        <f t="shared" si="1"/>
        <v>0</v>
      </c>
    </row>
    <row r="13" spans="2:45" x14ac:dyDescent="0.25">
      <c r="B13" s="253" t="str">
        <f>"wvanc"&amp;"commercial"&amp;C13</f>
        <v>wvanccommercialVCPLACE</v>
      </c>
      <c r="C13" s="58" t="s">
        <v>844</v>
      </c>
      <c r="D13" s="58" t="s">
        <v>274</v>
      </c>
      <c r="E13" s="55" t="e">
        <v>#REF!</v>
      </c>
      <c r="F13" s="55">
        <v>35.08</v>
      </c>
      <c r="G13" s="40"/>
      <c r="H13" s="14">
        <v>0</v>
      </c>
      <c r="I13" s="14">
        <v>0</v>
      </c>
      <c r="J13" s="14">
        <v>0</v>
      </c>
      <c r="K13" s="14">
        <v>0</v>
      </c>
      <c r="L13" s="14">
        <v>0</v>
      </c>
      <c r="M13" s="14">
        <v>35.08</v>
      </c>
      <c r="N13" s="14">
        <v>0</v>
      </c>
      <c r="O13" s="14">
        <v>0</v>
      </c>
      <c r="P13" s="14">
        <v>0</v>
      </c>
      <c r="Q13" s="14">
        <v>0</v>
      </c>
      <c r="R13" s="14">
        <v>0</v>
      </c>
      <c r="S13" s="14">
        <v>0</v>
      </c>
      <c r="T13" s="81">
        <f>SUM(H13:S13)</f>
        <v>35.08</v>
      </c>
      <c r="U13" s="40"/>
      <c r="V13" s="48"/>
      <c r="W13" s="48"/>
      <c r="X13" s="48"/>
      <c r="Y13" s="48"/>
      <c r="Z13" s="48"/>
      <c r="AA13" s="48"/>
      <c r="AB13" s="48"/>
      <c r="AC13" s="48"/>
      <c r="AD13" s="48"/>
      <c r="AE13" s="48"/>
      <c r="AF13" s="48"/>
      <c r="AG13" s="48"/>
      <c r="AH13" s="40"/>
      <c r="AI13" s="45"/>
      <c r="AJ13" s="45"/>
    </row>
    <row r="14" spans="2:45" x14ac:dyDescent="0.25">
      <c r="B14" s="40"/>
      <c r="C14" s="70"/>
      <c r="D14" s="70"/>
      <c r="E14" s="55"/>
      <c r="F14" s="55"/>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5"/>
      <c r="AJ14" s="45"/>
      <c r="AL14" s="212">
        <v>0</v>
      </c>
      <c r="AM14" s="25">
        <f>+$AH14*AL14</f>
        <v>0</v>
      </c>
      <c r="AN14" s="212">
        <v>1</v>
      </c>
      <c r="AO14" s="25">
        <f>+$AH14*AN14</f>
        <v>0</v>
      </c>
      <c r="AP14" s="212">
        <v>0</v>
      </c>
      <c r="AQ14" s="25">
        <f t="shared" si="1"/>
        <v>0</v>
      </c>
      <c r="AR14" s="212">
        <v>0</v>
      </c>
      <c r="AS14" s="25">
        <f t="shared" si="1"/>
        <v>0</v>
      </c>
    </row>
    <row r="15" spans="2:45" x14ac:dyDescent="0.25">
      <c r="B15" s="40"/>
      <c r="C15" s="70"/>
      <c r="D15" s="52" t="s">
        <v>28</v>
      </c>
      <c r="E15" s="55"/>
      <c r="F15" s="55"/>
      <c r="G15" s="40"/>
      <c r="H15" s="74">
        <f>SUM(H12:H14)</f>
        <v>137.19999999999999</v>
      </c>
      <c r="I15" s="74">
        <f t="shared" ref="I15:T15" si="2">SUM(I12:I14)</f>
        <v>137.19999999999999</v>
      </c>
      <c r="J15" s="74">
        <f t="shared" si="2"/>
        <v>137.19999999999999</v>
      </c>
      <c r="K15" s="74">
        <f t="shared" si="2"/>
        <v>137.19999999999999</v>
      </c>
      <c r="L15" s="74">
        <f t="shared" si="2"/>
        <v>137.19999999999999</v>
      </c>
      <c r="M15" s="74">
        <f t="shared" si="2"/>
        <v>172.27999999999997</v>
      </c>
      <c r="N15" s="74">
        <f t="shared" si="2"/>
        <v>0</v>
      </c>
      <c r="O15" s="74">
        <f t="shared" si="2"/>
        <v>0</v>
      </c>
      <c r="P15" s="74">
        <f t="shared" si="2"/>
        <v>0</v>
      </c>
      <c r="Q15" s="74">
        <f t="shared" si="2"/>
        <v>0</v>
      </c>
      <c r="R15" s="74">
        <f t="shared" si="2"/>
        <v>0</v>
      </c>
      <c r="S15" s="74">
        <f t="shared" si="2"/>
        <v>0</v>
      </c>
      <c r="T15" s="74">
        <f t="shared" si="2"/>
        <v>858.28000000000009</v>
      </c>
      <c r="U15" s="40"/>
      <c r="V15" s="277">
        <f t="shared" ref="V15:AG15" si="3">+V12</f>
        <v>0</v>
      </c>
      <c r="W15" s="277">
        <f t="shared" si="3"/>
        <v>0</v>
      </c>
      <c r="X15" s="277">
        <f t="shared" si="3"/>
        <v>0</v>
      </c>
      <c r="Y15" s="277">
        <f t="shared" si="3"/>
        <v>0</v>
      </c>
      <c r="Z15" s="277">
        <f t="shared" si="3"/>
        <v>0</v>
      </c>
      <c r="AA15" s="277">
        <f t="shared" si="3"/>
        <v>0</v>
      </c>
      <c r="AB15" s="277">
        <f t="shared" si="3"/>
        <v>0</v>
      </c>
      <c r="AC15" s="277">
        <f t="shared" si="3"/>
        <v>0</v>
      </c>
      <c r="AD15" s="277">
        <f t="shared" si="3"/>
        <v>0</v>
      </c>
      <c r="AE15" s="277">
        <f t="shared" si="3"/>
        <v>0</v>
      </c>
      <c r="AF15" s="277">
        <f t="shared" si="3"/>
        <v>0</v>
      </c>
      <c r="AG15" s="277">
        <f t="shared" si="3"/>
        <v>0</v>
      </c>
      <c r="AH15" s="277">
        <f>+AH12</f>
        <v>0</v>
      </c>
      <c r="AI15" s="277">
        <f>+AI12</f>
        <v>0</v>
      </c>
      <c r="AJ15" s="45"/>
      <c r="AM15" s="217">
        <f>SUM(AM12:AM14)</f>
        <v>0</v>
      </c>
      <c r="AO15" s="217">
        <f>SUM(AO12:AO14)</f>
        <v>0</v>
      </c>
      <c r="AQ15" s="217">
        <f>SUM(AQ12:AQ14)</f>
        <v>0</v>
      </c>
      <c r="AS15" s="217">
        <f>SUM(AS12:AS14)</f>
        <v>0</v>
      </c>
    </row>
    <row r="16" spans="2:45" x14ac:dyDescent="0.25">
      <c r="B16" s="40"/>
      <c r="C16" s="70"/>
      <c r="D16" s="70"/>
      <c r="E16" s="55"/>
      <c r="F16" s="55"/>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5"/>
      <c r="AJ16" s="45"/>
    </row>
    <row r="17" spans="1:44" x14ac:dyDescent="0.25">
      <c r="B17" s="40"/>
      <c r="C17" s="42" t="s">
        <v>12</v>
      </c>
      <c r="D17" s="42" t="s">
        <v>12</v>
      </c>
      <c r="E17" s="55"/>
      <c r="F17" s="55"/>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5"/>
      <c r="AJ17" s="45"/>
    </row>
    <row r="18" spans="1:44" s="278" customFormat="1" x14ac:dyDescent="0.25">
      <c r="A18" s="278" t="str">
        <f t="shared" ref="A18:A37" si="4">"all"&amp;"recycling"&amp;C18</f>
        <v>allrecyclingCRY2Y1X</v>
      </c>
      <c r="B18" s="279" t="str">
        <f t="shared" ref="B18:B37" si="5">"wvanc"&amp;"recycling"&amp;C18</f>
        <v>wvancrecyclingCRY2Y1X</v>
      </c>
      <c r="C18" s="232" t="s">
        <v>461</v>
      </c>
      <c r="D18" s="232" t="s">
        <v>544</v>
      </c>
      <c r="E18" s="280" t="e">
        <v>#REF!</v>
      </c>
      <c r="F18" s="280">
        <v>157.93</v>
      </c>
      <c r="G18" s="232"/>
      <c r="H18" s="281">
        <v>274.74</v>
      </c>
      <c r="I18" s="281">
        <v>274.74</v>
      </c>
      <c r="J18" s="281">
        <v>274.74</v>
      </c>
      <c r="K18" s="281">
        <v>288.48</v>
      </c>
      <c r="L18" s="281">
        <v>288.48</v>
      </c>
      <c r="M18" s="281">
        <v>288.48</v>
      </c>
      <c r="N18" s="281">
        <v>0</v>
      </c>
      <c r="O18" s="281">
        <v>0</v>
      </c>
      <c r="P18" s="281">
        <v>0</v>
      </c>
      <c r="Q18" s="281">
        <v>0</v>
      </c>
      <c r="R18" s="281">
        <v>0</v>
      </c>
      <c r="S18" s="281">
        <v>0</v>
      </c>
      <c r="T18" s="282">
        <f t="shared" ref="T18:T37" si="6">SUM(H18:S18)</f>
        <v>1689.66</v>
      </c>
      <c r="U18" s="232"/>
      <c r="V18" s="283">
        <f>IFERROR(H18/$F18,0)</f>
        <v>1.7396314823022858</v>
      </c>
      <c r="W18" s="283">
        <f t="shared" ref="W18:AG26" si="7">IFERROR(I18/$F18,0)</f>
        <v>1.7396314823022858</v>
      </c>
      <c r="X18" s="283">
        <f t="shared" si="7"/>
        <v>1.7396314823022858</v>
      </c>
      <c r="Y18" s="283">
        <f t="shared" si="7"/>
        <v>1.8266320521750143</v>
      </c>
      <c r="Z18" s="283">
        <f t="shared" si="7"/>
        <v>1.8266320521750143</v>
      </c>
      <c r="AA18" s="283">
        <f t="shared" si="7"/>
        <v>1.8266320521750143</v>
      </c>
      <c r="AB18" s="283">
        <f t="shared" si="7"/>
        <v>0</v>
      </c>
      <c r="AC18" s="283">
        <f t="shared" si="7"/>
        <v>0</v>
      </c>
      <c r="AD18" s="283">
        <f t="shared" si="7"/>
        <v>0</v>
      </c>
      <c r="AE18" s="283">
        <f t="shared" si="7"/>
        <v>0</v>
      </c>
      <c r="AF18" s="283">
        <f t="shared" si="7"/>
        <v>0</v>
      </c>
      <c r="AG18" s="283">
        <f t="shared" si="7"/>
        <v>0</v>
      </c>
      <c r="AH18" s="284">
        <f t="shared" ref="AH18:AH23" si="8">+IFERROR(AVERAGE(V18:AG18),0)</f>
        <v>0.89156588361932509</v>
      </c>
      <c r="AI18" s="285">
        <f t="shared" ref="AI18:AI26" si="9">+SUM(V18:AG18)</f>
        <v>10.698790603431901</v>
      </c>
      <c r="AJ18" s="279"/>
      <c r="AL18" s="286">
        <v>0</v>
      </c>
      <c r="AM18" s="287">
        <f t="shared" ref="AM18:AM23" si="10">+$AH18*AL18</f>
        <v>0</v>
      </c>
      <c r="AN18" s="286">
        <v>1</v>
      </c>
      <c r="AO18" s="287">
        <f t="shared" ref="AO18:AO23" si="11">+$AH18*AN18</f>
        <v>0.89156588361932509</v>
      </c>
      <c r="AP18" s="286">
        <v>0</v>
      </c>
      <c r="AQ18" s="287">
        <f t="shared" ref="AQ18:AQ23" si="12">+$AH18*AP18</f>
        <v>0</v>
      </c>
      <c r="AR18" s="286">
        <v>0</v>
      </c>
    </row>
    <row r="19" spans="1:44" s="278" customFormat="1" x14ac:dyDescent="0.25">
      <c r="A19" s="278" t="str">
        <f t="shared" si="4"/>
        <v>allrecyclingCRY3Y1X</v>
      </c>
      <c r="B19" s="279" t="str">
        <f t="shared" si="5"/>
        <v>wvancrecyclingCRY3Y1X</v>
      </c>
      <c r="C19" s="232" t="s">
        <v>465</v>
      </c>
      <c r="D19" s="232" t="s">
        <v>548</v>
      </c>
      <c r="E19" s="280" t="e">
        <v>#REF!</v>
      </c>
      <c r="F19" s="280">
        <v>171.84</v>
      </c>
      <c r="G19" s="232"/>
      <c r="H19" s="281">
        <v>149.44</v>
      </c>
      <c r="I19" s="281">
        <v>149.44</v>
      </c>
      <c r="J19" s="281">
        <v>149.44</v>
      </c>
      <c r="K19" s="281">
        <v>156.91</v>
      </c>
      <c r="L19" s="281">
        <v>156.91</v>
      </c>
      <c r="M19" s="281">
        <v>156.91</v>
      </c>
      <c r="N19" s="281">
        <v>0</v>
      </c>
      <c r="O19" s="281">
        <v>0</v>
      </c>
      <c r="P19" s="281">
        <v>0</v>
      </c>
      <c r="Q19" s="281">
        <v>0</v>
      </c>
      <c r="R19" s="281">
        <v>0</v>
      </c>
      <c r="S19" s="281">
        <v>0</v>
      </c>
      <c r="T19" s="282">
        <f t="shared" si="6"/>
        <v>919.05</v>
      </c>
      <c r="U19" s="232"/>
      <c r="V19" s="283">
        <f t="shared" ref="V19:V26" si="13">IFERROR(H19/$F19,0)</f>
        <v>0.86964618249534442</v>
      </c>
      <c r="W19" s="283">
        <f t="shared" si="7"/>
        <v>0.86964618249534442</v>
      </c>
      <c r="X19" s="283">
        <f t="shared" si="7"/>
        <v>0.86964618249534442</v>
      </c>
      <c r="Y19" s="283">
        <f t="shared" si="7"/>
        <v>0.91311685288640587</v>
      </c>
      <c r="Z19" s="283">
        <f t="shared" si="7"/>
        <v>0.91311685288640587</v>
      </c>
      <c r="AA19" s="283">
        <f t="shared" si="7"/>
        <v>0.91311685288640587</v>
      </c>
      <c r="AB19" s="283">
        <f t="shared" si="7"/>
        <v>0</v>
      </c>
      <c r="AC19" s="283">
        <f t="shared" si="7"/>
        <v>0</v>
      </c>
      <c r="AD19" s="283">
        <f t="shared" si="7"/>
        <v>0</v>
      </c>
      <c r="AE19" s="283">
        <f t="shared" si="7"/>
        <v>0</v>
      </c>
      <c r="AF19" s="283">
        <f t="shared" si="7"/>
        <v>0</v>
      </c>
      <c r="AG19" s="283">
        <f t="shared" si="7"/>
        <v>0</v>
      </c>
      <c r="AH19" s="284">
        <f t="shared" si="8"/>
        <v>0.44569075884543752</v>
      </c>
      <c r="AI19" s="285">
        <f t="shared" si="9"/>
        <v>5.3482891061452502</v>
      </c>
      <c r="AJ19" s="279"/>
      <c r="AL19" s="286">
        <v>0</v>
      </c>
      <c r="AM19" s="287">
        <f t="shared" si="10"/>
        <v>0</v>
      </c>
      <c r="AN19" s="286">
        <v>1</v>
      </c>
      <c r="AO19" s="287">
        <f t="shared" si="11"/>
        <v>0.44569075884543752</v>
      </c>
      <c r="AP19" s="286">
        <v>0</v>
      </c>
      <c r="AQ19" s="287">
        <f t="shared" si="12"/>
        <v>0</v>
      </c>
      <c r="AR19" s="286">
        <v>0</v>
      </c>
    </row>
    <row r="20" spans="1:44" s="278" customFormat="1" x14ac:dyDescent="0.25">
      <c r="A20" s="278" t="str">
        <f t="shared" si="4"/>
        <v>allrecyclingCRY3Y2X</v>
      </c>
      <c r="B20" s="279" t="str">
        <f t="shared" si="5"/>
        <v>wvancrecyclingCRY3Y2X</v>
      </c>
      <c r="C20" s="232" t="s">
        <v>466</v>
      </c>
      <c r="D20" s="232" t="s">
        <v>549</v>
      </c>
      <c r="E20" s="280" t="e">
        <v>#REF!</v>
      </c>
      <c r="F20" s="280">
        <v>310.39</v>
      </c>
      <c r="G20" s="232"/>
      <c r="H20" s="281">
        <v>282.17</v>
      </c>
      <c r="I20" s="281">
        <v>282.17</v>
      </c>
      <c r="J20" s="281">
        <v>282.17</v>
      </c>
      <c r="K20" s="281">
        <v>296.27999999999997</v>
      </c>
      <c r="L20" s="281">
        <v>296.27999999999997</v>
      </c>
      <c r="M20" s="281">
        <v>296.27999999999997</v>
      </c>
      <c r="N20" s="281">
        <v>0</v>
      </c>
      <c r="O20" s="281">
        <v>0</v>
      </c>
      <c r="P20" s="281">
        <v>0</v>
      </c>
      <c r="Q20" s="281">
        <v>0</v>
      </c>
      <c r="R20" s="281">
        <v>0</v>
      </c>
      <c r="S20" s="281">
        <v>0</v>
      </c>
      <c r="T20" s="282">
        <f t="shared" si="6"/>
        <v>1735.35</v>
      </c>
      <c r="U20" s="232"/>
      <c r="V20" s="283">
        <f t="shared" si="13"/>
        <v>0.90908212249105969</v>
      </c>
      <c r="W20" s="283">
        <f t="shared" si="7"/>
        <v>0.90908212249105969</v>
      </c>
      <c r="X20" s="283">
        <f t="shared" si="7"/>
        <v>0.90908212249105969</v>
      </c>
      <c r="Y20" s="283">
        <f t="shared" si="7"/>
        <v>0.95454106124552973</v>
      </c>
      <c r="Z20" s="283">
        <f t="shared" si="7"/>
        <v>0.95454106124552973</v>
      </c>
      <c r="AA20" s="283">
        <f t="shared" si="7"/>
        <v>0.95454106124552973</v>
      </c>
      <c r="AB20" s="283">
        <f t="shared" si="7"/>
        <v>0</v>
      </c>
      <c r="AC20" s="283">
        <f t="shared" si="7"/>
        <v>0</v>
      </c>
      <c r="AD20" s="283">
        <f t="shared" si="7"/>
        <v>0</v>
      </c>
      <c r="AE20" s="283">
        <f t="shared" si="7"/>
        <v>0</v>
      </c>
      <c r="AF20" s="283">
        <f t="shared" si="7"/>
        <v>0</v>
      </c>
      <c r="AG20" s="283">
        <f t="shared" si="7"/>
        <v>0</v>
      </c>
      <c r="AH20" s="284">
        <f t="shared" si="8"/>
        <v>0.46590579593414733</v>
      </c>
      <c r="AI20" s="285">
        <f t="shared" si="9"/>
        <v>5.5908695512097681</v>
      </c>
      <c r="AJ20" s="279"/>
      <c r="AL20" s="286">
        <v>0</v>
      </c>
      <c r="AM20" s="287">
        <f t="shared" si="10"/>
        <v>0</v>
      </c>
      <c r="AN20" s="286">
        <v>1</v>
      </c>
      <c r="AO20" s="287">
        <f t="shared" si="11"/>
        <v>0.46590579593414733</v>
      </c>
      <c r="AP20" s="286">
        <v>0</v>
      </c>
      <c r="AQ20" s="287">
        <f t="shared" si="12"/>
        <v>0</v>
      </c>
      <c r="AR20" s="286">
        <v>0</v>
      </c>
    </row>
    <row r="21" spans="1:44" s="278" customFormat="1" x14ac:dyDescent="0.25">
      <c r="A21" s="278" t="str">
        <f t="shared" si="4"/>
        <v>allrecyclingCRY4Y3X</v>
      </c>
      <c r="B21" s="279" t="str">
        <f>"wvanc"&amp;"recycling"&amp;C21</f>
        <v>wvancrecyclingCRY4Y3X</v>
      </c>
      <c r="C21" s="232" t="s">
        <v>472</v>
      </c>
      <c r="D21" s="232" t="s">
        <v>555</v>
      </c>
      <c r="E21" s="280" t="e">
        <v>#REF!</v>
      </c>
      <c r="F21" s="280">
        <v>487.76</v>
      </c>
      <c r="G21" s="232"/>
      <c r="H21" s="281">
        <v>443.42</v>
      </c>
      <c r="I21" s="281">
        <v>443.42</v>
      </c>
      <c r="J21" s="281">
        <v>443.42</v>
      </c>
      <c r="K21" s="281">
        <v>465.59</v>
      </c>
      <c r="L21" s="281">
        <v>465.59</v>
      </c>
      <c r="M21" s="281">
        <v>465.59</v>
      </c>
      <c r="N21" s="281">
        <v>0</v>
      </c>
      <c r="O21" s="281">
        <v>0</v>
      </c>
      <c r="P21" s="281">
        <v>0</v>
      </c>
      <c r="Q21" s="281">
        <v>0</v>
      </c>
      <c r="R21" s="281">
        <v>0</v>
      </c>
      <c r="S21" s="281">
        <v>0</v>
      </c>
      <c r="T21" s="282">
        <f t="shared" si="6"/>
        <v>2727.03</v>
      </c>
      <c r="U21" s="232"/>
      <c r="V21" s="283">
        <f t="shared" si="13"/>
        <v>0.90909463670657709</v>
      </c>
      <c r="W21" s="283">
        <f t="shared" si="7"/>
        <v>0.90909463670657709</v>
      </c>
      <c r="X21" s="283">
        <f t="shared" si="7"/>
        <v>0.90909463670657709</v>
      </c>
      <c r="Y21" s="283">
        <f t="shared" si="7"/>
        <v>0.95454731835328843</v>
      </c>
      <c r="Z21" s="283">
        <f t="shared" si="7"/>
        <v>0.95454731835328843</v>
      </c>
      <c r="AA21" s="283">
        <f t="shared" si="7"/>
        <v>0.95454731835328843</v>
      </c>
      <c r="AB21" s="283">
        <f t="shared" si="7"/>
        <v>0</v>
      </c>
      <c r="AC21" s="283">
        <f t="shared" si="7"/>
        <v>0</v>
      </c>
      <c r="AD21" s="283">
        <f t="shared" si="7"/>
        <v>0</v>
      </c>
      <c r="AE21" s="283">
        <f t="shared" si="7"/>
        <v>0</v>
      </c>
      <c r="AF21" s="283">
        <f t="shared" si="7"/>
        <v>0</v>
      </c>
      <c r="AG21" s="283">
        <f t="shared" si="7"/>
        <v>0</v>
      </c>
      <c r="AH21" s="284">
        <f t="shared" si="8"/>
        <v>0.46591048876496638</v>
      </c>
      <c r="AI21" s="285">
        <f t="shared" si="9"/>
        <v>5.5909258651795968</v>
      </c>
      <c r="AJ21" s="279"/>
      <c r="AL21" s="286">
        <v>0</v>
      </c>
      <c r="AM21" s="287">
        <f t="shared" si="10"/>
        <v>0</v>
      </c>
      <c r="AN21" s="286">
        <v>1</v>
      </c>
      <c r="AO21" s="287">
        <f t="shared" si="11"/>
        <v>0.46591048876496638</v>
      </c>
      <c r="AP21" s="286">
        <v>0</v>
      </c>
      <c r="AQ21" s="287">
        <f t="shared" si="12"/>
        <v>0</v>
      </c>
      <c r="AR21" s="286">
        <v>0</v>
      </c>
    </row>
    <row r="22" spans="1:44" s="278" customFormat="1" x14ac:dyDescent="0.25">
      <c r="A22" s="278" t="str">
        <f t="shared" si="4"/>
        <v>allrecyclingCRY6Y2X</v>
      </c>
      <c r="B22" s="279" t="str">
        <f t="shared" si="5"/>
        <v>wvancrecyclingCRY6Y2X</v>
      </c>
      <c r="C22" s="232" t="s">
        <v>480</v>
      </c>
      <c r="D22" s="232" t="s">
        <v>563</v>
      </c>
      <c r="E22" s="280" t="e">
        <v>#REF!</v>
      </c>
      <c r="F22" s="280">
        <v>390.75</v>
      </c>
      <c r="G22" s="232"/>
      <c r="H22" s="281">
        <v>390.75</v>
      </c>
      <c r="I22" s="281">
        <v>390.75</v>
      </c>
      <c r="J22" s="281">
        <v>390.75</v>
      </c>
      <c r="K22" s="281">
        <v>410.29</v>
      </c>
      <c r="L22" s="281">
        <v>410.29</v>
      </c>
      <c r="M22" s="281">
        <v>410.29</v>
      </c>
      <c r="N22" s="281">
        <v>0</v>
      </c>
      <c r="O22" s="281">
        <v>0</v>
      </c>
      <c r="P22" s="281">
        <v>0</v>
      </c>
      <c r="Q22" s="281">
        <v>0</v>
      </c>
      <c r="R22" s="281">
        <v>0</v>
      </c>
      <c r="S22" s="281">
        <v>0</v>
      </c>
      <c r="T22" s="282">
        <f t="shared" si="6"/>
        <v>2403.12</v>
      </c>
      <c r="U22" s="232"/>
      <c r="V22" s="283">
        <f t="shared" si="13"/>
        <v>1</v>
      </c>
      <c r="W22" s="283">
        <f t="shared" si="7"/>
        <v>1</v>
      </c>
      <c r="X22" s="283">
        <f t="shared" si="7"/>
        <v>1</v>
      </c>
      <c r="Y22" s="283">
        <f t="shared" si="7"/>
        <v>1.0500063979526553</v>
      </c>
      <c r="Z22" s="283">
        <f t="shared" si="7"/>
        <v>1.0500063979526553</v>
      </c>
      <c r="AA22" s="283">
        <f t="shared" si="7"/>
        <v>1.0500063979526553</v>
      </c>
      <c r="AB22" s="283">
        <f t="shared" si="7"/>
        <v>0</v>
      </c>
      <c r="AC22" s="283">
        <f t="shared" si="7"/>
        <v>0</v>
      </c>
      <c r="AD22" s="283">
        <f t="shared" si="7"/>
        <v>0</v>
      </c>
      <c r="AE22" s="283">
        <f t="shared" si="7"/>
        <v>0</v>
      </c>
      <c r="AF22" s="283">
        <f t="shared" si="7"/>
        <v>0</v>
      </c>
      <c r="AG22" s="283">
        <f t="shared" si="7"/>
        <v>0</v>
      </c>
      <c r="AH22" s="284">
        <f t="shared" si="8"/>
        <v>0.51250159948816387</v>
      </c>
      <c r="AI22" s="285">
        <f t="shared" si="9"/>
        <v>6.1500191938579665</v>
      </c>
      <c r="AJ22" s="279"/>
      <c r="AL22" s="286">
        <v>0</v>
      </c>
      <c r="AM22" s="287">
        <f t="shared" si="10"/>
        <v>0</v>
      </c>
      <c r="AN22" s="286">
        <v>1</v>
      </c>
      <c r="AO22" s="287">
        <f t="shared" si="11"/>
        <v>0.51250159948816387</v>
      </c>
      <c r="AP22" s="286">
        <v>0</v>
      </c>
      <c r="AQ22" s="287">
        <f t="shared" si="12"/>
        <v>0</v>
      </c>
      <c r="AR22" s="286">
        <v>0</v>
      </c>
    </row>
    <row r="23" spans="1:44" s="278" customFormat="1" x14ac:dyDescent="0.25">
      <c r="A23" s="278" t="str">
        <f t="shared" si="4"/>
        <v>allrecyclingCRY90EOW</v>
      </c>
      <c r="B23" s="279" t="str">
        <f t="shared" si="5"/>
        <v>wvancrecyclingCRY90EOW</v>
      </c>
      <c r="C23" s="232" t="s">
        <v>492</v>
      </c>
      <c r="D23" s="232" t="s">
        <v>575</v>
      </c>
      <c r="E23" s="280" t="e">
        <v>#REF!</v>
      </c>
      <c r="F23" s="280">
        <v>47.739999999999995</v>
      </c>
      <c r="G23" s="232"/>
      <c r="H23" s="281">
        <v>47.74</v>
      </c>
      <c r="I23" s="281">
        <v>23.87</v>
      </c>
      <c r="J23" s="281">
        <v>0</v>
      </c>
      <c r="K23" s="281">
        <v>0</v>
      </c>
      <c r="L23" s="281">
        <v>0</v>
      </c>
      <c r="M23" s="281">
        <v>0</v>
      </c>
      <c r="N23" s="281">
        <v>0</v>
      </c>
      <c r="O23" s="281">
        <v>0</v>
      </c>
      <c r="P23" s="281">
        <v>0</v>
      </c>
      <c r="Q23" s="281">
        <v>0</v>
      </c>
      <c r="R23" s="281">
        <v>0</v>
      </c>
      <c r="S23" s="281">
        <v>0</v>
      </c>
      <c r="T23" s="282">
        <f t="shared" si="6"/>
        <v>71.61</v>
      </c>
      <c r="U23" s="232"/>
      <c r="V23" s="283">
        <f t="shared" si="13"/>
        <v>1.0000000000000002</v>
      </c>
      <c r="W23" s="283">
        <f t="shared" si="7"/>
        <v>0.50000000000000011</v>
      </c>
      <c r="X23" s="283">
        <f t="shared" si="7"/>
        <v>0</v>
      </c>
      <c r="Y23" s="283">
        <f t="shared" si="7"/>
        <v>0</v>
      </c>
      <c r="Z23" s="283">
        <f t="shared" si="7"/>
        <v>0</v>
      </c>
      <c r="AA23" s="283">
        <f t="shared" si="7"/>
        <v>0</v>
      </c>
      <c r="AB23" s="283">
        <f t="shared" si="7"/>
        <v>0</v>
      </c>
      <c r="AC23" s="283">
        <f t="shared" si="7"/>
        <v>0</v>
      </c>
      <c r="AD23" s="283">
        <f t="shared" si="7"/>
        <v>0</v>
      </c>
      <c r="AE23" s="283">
        <f t="shared" si="7"/>
        <v>0</v>
      </c>
      <c r="AF23" s="283">
        <f t="shared" si="7"/>
        <v>0</v>
      </c>
      <c r="AG23" s="283">
        <f t="shared" si="7"/>
        <v>0</v>
      </c>
      <c r="AH23" s="284">
        <f t="shared" si="8"/>
        <v>0.12500000000000003</v>
      </c>
      <c r="AI23" s="285">
        <f t="shared" si="9"/>
        <v>1.5000000000000004</v>
      </c>
      <c r="AJ23" s="279"/>
      <c r="AL23" s="286">
        <v>1</v>
      </c>
      <c r="AM23" s="287">
        <f t="shared" si="10"/>
        <v>0.12500000000000003</v>
      </c>
      <c r="AN23" s="286">
        <v>0</v>
      </c>
      <c r="AO23" s="287">
        <f t="shared" si="11"/>
        <v>0</v>
      </c>
      <c r="AP23" s="286">
        <v>0</v>
      </c>
      <c r="AQ23" s="287">
        <f t="shared" si="12"/>
        <v>0</v>
      </c>
      <c r="AR23" s="286">
        <v>0</v>
      </c>
    </row>
    <row r="24" spans="1:44" s="278" customFormat="1" x14ac:dyDescent="0.25">
      <c r="A24" s="278" t="str">
        <f>"all"&amp;"recycling"&amp;C24</f>
        <v>allrecyclingCRY4Y1X</v>
      </c>
      <c r="B24" s="279" t="str">
        <f>"wvanc"&amp;"recycling"&amp;C24</f>
        <v>wvancrecyclingCRY4Y1X</v>
      </c>
      <c r="C24" s="232" t="s">
        <v>470</v>
      </c>
      <c r="D24" s="232" t="s">
        <v>553</v>
      </c>
      <c r="E24" s="280" t="e">
        <v>#REF!</v>
      </c>
      <c r="F24" s="280">
        <v>188.52</v>
      </c>
      <c r="G24" s="232"/>
      <c r="H24" s="281">
        <v>188.52</v>
      </c>
      <c r="I24" s="281">
        <v>188.52</v>
      </c>
      <c r="J24" s="281">
        <v>188.52</v>
      </c>
      <c r="K24" s="281">
        <v>197.95</v>
      </c>
      <c r="L24" s="281">
        <v>197.95</v>
      </c>
      <c r="M24" s="281">
        <v>197.95</v>
      </c>
      <c r="N24" s="281">
        <v>0</v>
      </c>
      <c r="O24" s="281">
        <v>0</v>
      </c>
      <c r="P24" s="281">
        <v>0</v>
      </c>
      <c r="Q24" s="281">
        <v>0</v>
      </c>
      <c r="R24" s="281">
        <v>0</v>
      </c>
      <c r="S24" s="281">
        <v>0</v>
      </c>
      <c r="T24" s="282">
        <f>SUM(H24:S24)</f>
        <v>1159.4100000000001</v>
      </c>
      <c r="U24" s="232"/>
      <c r="V24" s="283">
        <f t="shared" si="13"/>
        <v>1</v>
      </c>
      <c r="W24" s="283">
        <f t="shared" si="7"/>
        <v>1</v>
      </c>
      <c r="X24" s="283">
        <f t="shared" si="7"/>
        <v>1</v>
      </c>
      <c r="Y24" s="283">
        <f t="shared" si="7"/>
        <v>1.0500212179079143</v>
      </c>
      <c r="Z24" s="283">
        <f t="shared" si="7"/>
        <v>1.0500212179079143</v>
      </c>
      <c r="AA24" s="283">
        <f t="shared" si="7"/>
        <v>1.0500212179079143</v>
      </c>
      <c r="AB24" s="283">
        <f t="shared" si="7"/>
        <v>0</v>
      </c>
      <c r="AC24" s="283">
        <f t="shared" si="7"/>
        <v>0</v>
      </c>
      <c r="AD24" s="283">
        <f t="shared" si="7"/>
        <v>0</v>
      </c>
      <c r="AE24" s="283">
        <f t="shared" si="7"/>
        <v>0</v>
      </c>
      <c r="AF24" s="283">
        <f t="shared" si="7"/>
        <v>0</v>
      </c>
      <c r="AG24" s="283">
        <f t="shared" si="7"/>
        <v>0</v>
      </c>
      <c r="AH24" s="284">
        <f>+IFERROR(AVERAGE(V24:AG24),0)</f>
        <v>0.51250530447697851</v>
      </c>
      <c r="AI24" s="285">
        <f t="shared" si="9"/>
        <v>6.1500636537237421</v>
      </c>
      <c r="AJ24" s="279"/>
    </row>
    <row r="25" spans="1:44" s="278" customFormat="1" x14ac:dyDescent="0.25">
      <c r="A25" s="278" t="str">
        <f>"all"&amp;"recycling"&amp;C25</f>
        <v>allrecyclingCRY901X2</v>
      </c>
      <c r="B25" s="279" t="str">
        <f>"wvanc"&amp;"recycling"&amp;C25</f>
        <v>wvancrecyclingCRY901X2</v>
      </c>
      <c r="C25" s="232" t="s">
        <v>494</v>
      </c>
      <c r="D25" s="232" t="s">
        <v>577</v>
      </c>
      <c r="E25" s="280" t="e">
        <v>#REF!</v>
      </c>
      <c r="F25" s="280">
        <v>104.57</v>
      </c>
      <c r="G25" s="232"/>
      <c r="H25" s="281">
        <v>104.57</v>
      </c>
      <c r="I25" s="281">
        <v>104.57</v>
      </c>
      <c r="J25" s="281">
        <v>104.57</v>
      </c>
      <c r="K25" s="281">
        <v>109.8</v>
      </c>
      <c r="L25" s="281">
        <v>109.8</v>
      </c>
      <c r="M25" s="281">
        <v>109.8</v>
      </c>
      <c r="N25" s="281">
        <v>0</v>
      </c>
      <c r="O25" s="281">
        <v>0</v>
      </c>
      <c r="P25" s="281">
        <v>0</v>
      </c>
      <c r="Q25" s="281">
        <v>0</v>
      </c>
      <c r="R25" s="281">
        <v>0</v>
      </c>
      <c r="S25" s="281">
        <v>0</v>
      </c>
      <c r="T25" s="282">
        <f>SUM(H25:S25)</f>
        <v>643.1099999999999</v>
      </c>
      <c r="U25" s="232"/>
      <c r="V25" s="283">
        <f t="shared" si="13"/>
        <v>1</v>
      </c>
      <c r="W25" s="283">
        <f t="shared" si="7"/>
        <v>1</v>
      </c>
      <c r="X25" s="283">
        <f t="shared" si="7"/>
        <v>1</v>
      </c>
      <c r="Y25" s="283">
        <f t="shared" si="7"/>
        <v>1.0500143444582577</v>
      </c>
      <c r="Z25" s="283">
        <f t="shared" si="7"/>
        <v>1.0500143444582577</v>
      </c>
      <c r="AA25" s="283">
        <f t="shared" si="7"/>
        <v>1.0500143444582577</v>
      </c>
      <c r="AB25" s="283">
        <f t="shared" si="7"/>
        <v>0</v>
      </c>
      <c r="AC25" s="283">
        <f t="shared" si="7"/>
        <v>0</v>
      </c>
      <c r="AD25" s="283">
        <f t="shared" si="7"/>
        <v>0</v>
      </c>
      <c r="AE25" s="283">
        <f t="shared" si="7"/>
        <v>0</v>
      </c>
      <c r="AF25" s="283">
        <f t="shared" si="7"/>
        <v>0</v>
      </c>
      <c r="AG25" s="283">
        <f t="shared" si="7"/>
        <v>0</v>
      </c>
      <c r="AH25" s="284">
        <f>+IFERROR(AVERAGE(V25:AG25),0)</f>
        <v>0.51250358611456437</v>
      </c>
      <c r="AI25" s="285">
        <f t="shared" si="9"/>
        <v>6.1500430333747724</v>
      </c>
      <c r="AJ25" s="279"/>
    </row>
    <row r="26" spans="1:44" s="278" customFormat="1" x14ac:dyDescent="0.25">
      <c r="A26" s="278" t="str">
        <f>"all"&amp;"recycling"&amp;C26</f>
        <v>allrecyclingVRYRPS</v>
      </c>
      <c r="B26" s="279" t="str">
        <f>"wvanc"&amp;"recycling"&amp;C26</f>
        <v>wvancrecyclingVRYRPS</v>
      </c>
      <c r="C26" s="232" t="s">
        <v>1252</v>
      </c>
      <c r="D26" s="232" t="s">
        <v>1253</v>
      </c>
      <c r="E26" s="280" t="e">
        <v>#REF!</v>
      </c>
      <c r="F26" s="280">
        <v>11</v>
      </c>
      <c r="G26" s="232"/>
      <c r="H26" s="281">
        <v>33</v>
      </c>
      <c r="I26" s="281">
        <v>33</v>
      </c>
      <c r="J26" s="281">
        <v>33</v>
      </c>
      <c r="K26" s="281">
        <v>33</v>
      </c>
      <c r="L26" s="281">
        <v>33</v>
      </c>
      <c r="M26" s="281">
        <v>33</v>
      </c>
      <c r="N26" s="281">
        <v>0</v>
      </c>
      <c r="O26" s="281">
        <v>0</v>
      </c>
      <c r="P26" s="281">
        <v>0</v>
      </c>
      <c r="Q26" s="281">
        <v>0</v>
      </c>
      <c r="R26" s="281">
        <v>0</v>
      </c>
      <c r="S26" s="281">
        <v>0</v>
      </c>
      <c r="T26" s="282">
        <f>SUM(H26:S26)</f>
        <v>198</v>
      </c>
      <c r="U26" s="232"/>
      <c r="V26" s="283">
        <f t="shared" si="13"/>
        <v>3</v>
      </c>
      <c r="W26" s="283">
        <f t="shared" si="7"/>
        <v>3</v>
      </c>
      <c r="X26" s="283">
        <f t="shared" si="7"/>
        <v>3</v>
      </c>
      <c r="Y26" s="283">
        <f t="shared" si="7"/>
        <v>3</v>
      </c>
      <c r="Z26" s="283">
        <f t="shared" si="7"/>
        <v>3</v>
      </c>
      <c r="AA26" s="283">
        <f t="shared" si="7"/>
        <v>3</v>
      </c>
      <c r="AB26" s="283">
        <f t="shared" si="7"/>
        <v>0</v>
      </c>
      <c r="AC26" s="283">
        <f t="shared" si="7"/>
        <v>0</v>
      </c>
      <c r="AD26" s="283">
        <f t="shared" si="7"/>
        <v>0</v>
      </c>
      <c r="AE26" s="283">
        <f t="shared" si="7"/>
        <v>0</v>
      </c>
      <c r="AF26" s="283">
        <f t="shared" si="7"/>
        <v>0</v>
      </c>
      <c r="AG26" s="283">
        <f t="shared" si="7"/>
        <v>0</v>
      </c>
      <c r="AH26" s="284">
        <f>+IFERROR(AVERAGE(V26:AG26),0)</f>
        <v>1.5</v>
      </c>
      <c r="AI26" s="285">
        <f t="shared" si="9"/>
        <v>18</v>
      </c>
      <c r="AJ26" s="279"/>
    </row>
    <row r="27" spans="1:44" x14ac:dyDescent="0.25">
      <c r="A27" t="str">
        <f>"all"&amp;"recycling"&amp;C27</f>
        <v>allrecyclingCRYEX3YD</v>
      </c>
      <c r="B27" s="45" t="str">
        <f>"wvanc"&amp;"recycling"&amp;C27</f>
        <v>wvancrecyclingCRYEX3YD</v>
      </c>
      <c r="C27" s="58" t="s">
        <v>531</v>
      </c>
      <c r="D27" s="58" t="s">
        <v>611</v>
      </c>
      <c r="E27" s="55" t="e">
        <v>#REF!</v>
      </c>
      <c r="F27" s="55">
        <v>40.68</v>
      </c>
      <c r="G27" s="40"/>
      <c r="H27" s="14">
        <v>0</v>
      </c>
      <c r="I27" s="14">
        <v>0</v>
      </c>
      <c r="J27" s="14">
        <v>0</v>
      </c>
      <c r="K27" s="14">
        <v>0</v>
      </c>
      <c r="L27" s="14">
        <v>0</v>
      </c>
      <c r="M27" s="14">
        <v>0</v>
      </c>
      <c r="N27" s="14">
        <v>0</v>
      </c>
      <c r="O27" s="14">
        <v>0</v>
      </c>
      <c r="P27" s="14">
        <v>0</v>
      </c>
      <c r="Q27" s="14">
        <v>0</v>
      </c>
      <c r="R27" s="14">
        <v>0</v>
      </c>
      <c r="S27" s="14">
        <v>0</v>
      </c>
      <c r="T27" s="81">
        <f t="shared" si="6"/>
        <v>0</v>
      </c>
      <c r="U27" s="40"/>
      <c r="V27" s="48"/>
      <c r="W27" s="48"/>
      <c r="X27" s="48"/>
      <c r="Y27" s="48"/>
      <c r="Z27" s="48"/>
      <c r="AA27" s="48"/>
      <c r="AB27" s="48"/>
      <c r="AC27" s="48"/>
      <c r="AD27" s="48"/>
      <c r="AE27" s="48"/>
      <c r="AF27" s="48"/>
      <c r="AG27" s="48"/>
      <c r="AH27" s="40"/>
      <c r="AI27" s="45"/>
      <c r="AJ27" s="45"/>
    </row>
    <row r="28" spans="1:44" x14ac:dyDescent="0.25">
      <c r="A28" t="str">
        <f>"all"&amp;"recycling"&amp;C28</f>
        <v>allrecyclingMFTOTE</v>
      </c>
      <c r="B28" s="45" t="str">
        <f>"wvanc"&amp;"recycling"&amp;C28</f>
        <v>wvancrecyclingMFTOTE</v>
      </c>
      <c r="C28" s="58" t="s">
        <v>1033</v>
      </c>
      <c r="D28" s="58" t="s">
        <v>1362</v>
      </c>
      <c r="E28" s="55" t="e">
        <v>#REF!</v>
      </c>
      <c r="F28" s="55">
        <v>8.11</v>
      </c>
      <c r="G28" s="40"/>
      <c r="H28" s="14">
        <v>8.11</v>
      </c>
      <c r="I28" s="14">
        <v>0</v>
      </c>
      <c r="J28" s="14">
        <v>0</v>
      </c>
      <c r="K28" s="14">
        <v>0</v>
      </c>
      <c r="L28" s="14">
        <v>0</v>
      </c>
      <c r="M28" s="14">
        <v>0</v>
      </c>
      <c r="N28" s="14">
        <v>0</v>
      </c>
      <c r="O28" s="14">
        <v>0</v>
      </c>
      <c r="P28" s="14">
        <v>0</v>
      </c>
      <c r="Q28" s="14">
        <v>0</v>
      </c>
      <c r="R28" s="14">
        <v>0</v>
      </c>
      <c r="S28" s="14">
        <v>0</v>
      </c>
      <c r="T28" s="81">
        <f>SUM(H28:S28)</f>
        <v>8.11</v>
      </c>
      <c r="U28" s="40"/>
      <c r="V28" s="48"/>
      <c r="W28" s="48"/>
      <c r="X28" s="48"/>
      <c r="Y28" s="48"/>
      <c r="Z28" s="48"/>
      <c r="AA28" s="48"/>
      <c r="AB28" s="48"/>
      <c r="AC28" s="48"/>
      <c r="AD28" s="48"/>
      <c r="AE28" s="48"/>
      <c r="AF28" s="48"/>
      <c r="AG28" s="48"/>
      <c r="AH28" s="40"/>
      <c r="AI28" s="45"/>
      <c r="AJ28" s="45"/>
    </row>
    <row r="29" spans="1:44" x14ac:dyDescent="0.25">
      <c r="A29" t="str">
        <f t="shared" si="4"/>
        <v>allrecyclingCRY90OC</v>
      </c>
      <c r="B29" s="45" t="str">
        <f t="shared" si="5"/>
        <v>wvancrecyclingCRY90OC</v>
      </c>
      <c r="C29" s="58" t="s">
        <v>517</v>
      </c>
      <c r="D29" s="58" t="s">
        <v>598</v>
      </c>
      <c r="E29" s="55" t="e">
        <v>#REF!</v>
      </c>
      <c r="F29" s="55">
        <v>11.62</v>
      </c>
      <c r="G29" s="40"/>
      <c r="H29" s="14">
        <v>11.39</v>
      </c>
      <c r="I29" s="14">
        <v>11.39</v>
      </c>
      <c r="J29" s="14">
        <v>11.39</v>
      </c>
      <c r="K29" s="14">
        <v>11.96</v>
      </c>
      <c r="L29" s="14">
        <v>11.96</v>
      </c>
      <c r="M29" s="14">
        <v>11.96</v>
      </c>
      <c r="N29" s="14">
        <v>0</v>
      </c>
      <c r="O29" s="14">
        <v>0</v>
      </c>
      <c r="P29" s="14">
        <v>0</v>
      </c>
      <c r="Q29" s="14">
        <v>0</v>
      </c>
      <c r="R29" s="14">
        <v>0</v>
      </c>
      <c r="S29" s="14">
        <v>0</v>
      </c>
      <c r="T29" s="81">
        <f t="shared" si="6"/>
        <v>70.050000000000011</v>
      </c>
      <c r="U29" s="40"/>
      <c r="V29" s="48"/>
      <c r="W29" s="48"/>
      <c r="X29" s="48"/>
      <c r="Y29" s="48"/>
      <c r="Z29" s="48"/>
      <c r="AA29" s="48"/>
      <c r="AB29" s="48"/>
      <c r="AC29" s="48"/>
      <c r="AD29" s="48"/>
      <c r="AE29" s="48"/>
      <c r="AF29" s="48"/>
      <c r="AG29" s="48"/>
      <c r="AH29" s="40"/>
      <c r="AI29" s="45"/>
      <c r="AJ29" s="45"/>
    </row>
    <row r="30" spans="1:44" x14ac:dyDescent="0.25">
      <c r="A30" t="str">
        <f t="shared" si="4"/>
        <v>allrecyclingCRY3YOC</v>
      </c>
      <c r="B30" s="45" t="str">
        <f>"wvanc"&amp;"recycling"&amp;C30</f>
        <v>wvancrecyclingCRY3YOC</v>
      </c>
      <c r="C30" s="58" t="s">
        <v>510</v>
      </c>
      <c r="D30" s="58" t="s">
        <v>592</v>
      </c>
      <c r="E30" s="55" t="e">
        <v>#REF!</v>
      </c>
      <c r="F30" s="55">
        <v>45.84</v>
      </c>
      <c r="G30" s="40"/>
      <c r="H30" s="14">
        <v>45.84</v>
      </c>
      <c r="I30" s="14">
        <v>45.84</v>
      </c>
      <c r="J30" s="14">
        <v>45.84</v>
      </c>
      <c r="K30" s="14">
        <v>48.13</v>
      </c>
      <c r="L30" s="14">
        <v>48.13</v>
      </c>
      <c r="M30" s="14">
        <v>48.13</v>
      </c>
      <c r="N30" s="14">
        <v>0</v>
      </c>
      <c r="O30" s="14">
        <v>0</v>
      </c>
      <c r="P30" s="14">
        <v>0</v>
      </c>
      <c r="Q30" s="14">
        <v>0</v>
      </c>
      <c r="R30" s="14">
        <v>0</v>
      </c>
      <c r="S30" s="14">
        <v>0</v>
      </c>
      <c r="T30" s="81">
        <f t="shared" si="6"/>
        <v>281.91000000000003</v>
      </c>
      <c r="U30" s="40"/>
      <c r="V30" s="48"/>
      <c r="W30" s="48"/>
      <c r="X30" s="48"/>
      <c r="Y30" s="48"/>
      <c r="Z30" s="48"/>
      <c r="AA30" s="48"/>
      <c r="AB30" s="48"/>
      <c r="AC30" s="48"/>
      <c r="AD30" s="48"/>
      <c r="AE30" s="48"/>
      <c r="AF30" s="48"/>
      <c r="AG30" s="48"/>
      <c r="AH30" s="40"/>
      <c r="AI30" s="45"/>
      <c r="AJ30" s="45"/>
    </row>
    <row r="31" spans="1:44" x14ac:dyDescent="0.25">
      <c r="A31" t="str">
        <f t="shared" si="4"/>
        <v>allrecycling0CRYEX90</v>
      </c>
      <c r="B31" s="45" t="str">
        <f t="shared" si="5"/>
        <v>wvancrecycling0CRYEX90</v>
      </c>
      <c r="C31" s="58" t="s">
        <v>500</v>
      </c>
      <c r="D31" s="58" t="s">
        <v>582</v>
      </c>
      <c r="E31" s="55" t="e">
        <v>#REF!</v>
      </c>
      <c r="F31" s="55">
        <v>24.9</v>
      </c>
      <c r="G31" s="40"/>
      <c r="H31" s="14">
        <v>0</v>
      </c>
      <c r="I31" s="14">
        <v>0</v>
      </c>
      <c r="J31" s="14">
        <v>24.9</v>
      </c>
      <c r="K31" s="14">
        <v>0</v>
      </c>
      <c r="L31" s="14">
        <v>0</v>
      </c>
      <c r="M31" s="14">
        <v>0</v>
      </c>
      <c r="N31" s="14">
        <v>0</v>
      </c>
      <c r="O31" s="14">
        <v>0</v>
      </c>
      <c r="P31" s="14">
        <v>0</v>
      </c>
      <c r="Q31" s="14">
        <v>0</v>
      </c>
      <c r="R31" s="14">
        <v>0</v>
      </c>
      <c r="S31" s="14">
        <v>0</v>
      </c>
      <c r="T31" s="81">
        <f t="shared" si="6"/>
        <v>24.9</v>
      </c>
      <c r="U31" s="40"/>
      <c r="V31" s="48"/>
      <c r="W31" s="48"/>
      <c r="X31" s="48"/>
      <c r="Y31" s="48"/>
      <c r="Z31" s="48"/>
      <c r="AA31" s="48"/>
      <c r="AB31" s="48"/>
      <c r="AC31" s="48"/>
      <c r="AD31" s="48"/>
      <c r="AE31" s="48"/>
      <c r="AF31" s="48"/>
      <c r="AG31" s="48"/>
      <c r="AH31" s="40"/>
      <c r="AI31" s="45"/>
      <c r="AJ31" s="45"/>
    </row>
    <row r="32" spans="1:44" x14ac:dyDescent="0.25">
      <c r="A32" t="str">
        <f t="shared" si="4"/>
        <v>allrecycling0CRYEX3YD</v>
      </c>
      <c r="B32" s="45" t="str">
        <f>"wvanc"&amp;"recycling"&amp;C32</f>
        <v>wvancrecycling0CRYEX3YD</v>
      </c>
      <c r="C32" s="58" t="s">
        <v>503</v>
      </c>
      <c r="D32" s="58" t="s">
        <v>585</v>
      </c>
      <c r="E32" s="55" t="e">
        <v>#REF!</v>
      </c>
      <c r="F32" s="55">
        <v>40.68</v>
      </c>
      <c r="G32" s="40"/>
      <c r="H32" s="14">
        <v>81.36</v>
      </c>
      <c r="I32" s="14">
        <v>0</v>
      </c>
      <c r="J32" s="14">
        <v>40.68</v>
      </c>
      <c r="K32" s="14">
        <v>85.42</v>
      </c>
      <c r="L32" s="14">
        <v>85.42</v>
      </c>
      <c r="M32" s="14">
        <v>0</v>
      </c>
      <c r="N32" s="14">
        <v>0</v>
      </c>
      <c r="O32" s="14">
        <v>0</v>
      </c>
      <c r="P32" s="14">
        <v>0</v>
      </c>
      <c r="Q32" s="14">
        <v>0</v>
      </c>
      <c r="R32" s="14">
        <v>0</v>
      </c>
      <c r="S32" s="14">
        <v>0</v>
      </c>
      <c r="T32" s="81">
        <f t="shared" si="6"/>
        <v>292.88</v>
      </c>
      <c r="U32" s="40"/>
      <c r="V32" s="48"/>
      <c r="W32" s="48"/>
      <c r="X32" s="48"/>
      <c r="Y32" s="48"/>
      <c r="Z32" s="48"/>
      <c r="AA32" s="48"/>
      <c r="AB32" s="48"/>
      <c r="AC32" s="48"/>
      <c r="AD32" s="48"/>
      <c r="AE32" s="48"/>
      <c r="AF32" s="48"/>
      <c r="AG32" s="48"/>
      <c r="AH32" s="40"/>
      <c r="AI32" s="45"/>
      <c r="AJ32" s="45"/>
    </row>
    <row r="33" spans="1:45" x14ac:dyDescent="0.25">
      <c r="A33" t="str">
        <f t="shared" si="4"/>
        <v>allrecyclingCRYACC</v>
      </c>
      <c r="B33" s="45" t="str">
        <f t="shared" si="5"/>
        <v>wvancrecyclingCRYACC</v>
      </c>
      <c r="C33" s="58" t="s">
        <v>521</v>
      </c>
      <c r="D33" s="58" t="s">
        <v>601</v>
      </c>
      <c r="E33" s="55" t="e">
        <v>#REF!</v>
      </c>
      <c r="F33" s="55">
        <v>11.39</v>
      </c>
      <c r="G33" s="40"/>
      <c r="H33" s="14">
        <v>102.51</v>
      </c>
      <c r="I33" s="14">
        <v>102.51</v>
      </c>
      <c r="J33" s="14">
        <v>102.51</v>
      </c>
      <c r="K33" s="14">
        <v>107.64</v>
      </c>
      <c r="L33" s="14">
        <v>107.64</v>
      </c>
      <c r="M33" s="14">
        <v>107.64</v>
      </c>
      <c r="N33" s="14">
        <v>0</v>
      </c>
      <c r="O33" s="14">
        <v>0</v>
      </c>
      <c r="P33" s="14">
        <v>0</v>
      </c>
      <c r="Q33" s="14">
        <v>0</v>
      </c>
      <c r="R33" s="14">
        <v>0</v>
      </c>
      <c r="S33" s="14">
        <v>0</v>
      </c>
      <c r="T33" s="81">
        <f t="shared" si="6"/>
        <v>630.45000000000005</v>
      </c>
      <c r="U33" s="40"/>
      <c r="V33" s="48"/>
      <c r="W33" s="48"/>
      <c r="X33" s="48"/>
      <c r="Y33" s="48"/>
      <c r="Z33" s="48"/>
      <c r="AA33" s="48"/>
      <c r="AB33" s="48"/>
      <c r="AC33" s="48"/>
      <c r="AD33" s="48"/>
      <c r="AE33" s="48"/>
      <c r="AF33" s="48"/>
      <c r="AG33" s="48"/>
      <c r="AH33" s="40"/>
      <c r="AI33" s="45"/>
      <c r="AJ33" s="45"/>
    </row>
    <row r="34" spans="1:45" x14ac:dyDescent="0.25">
      <c r="A34" t="str">
        <f t="shared" si="4"/>
        <v>allrecyclingCRYRO</v>
      </c>
      <c r="B34" s="45" t="str">
        <f t="shared" si="5"/>
        <v>wvancrecyclingCRYRO</v>
      </c>
      <c r="C34" s="58" t="s">
        <v>524</v>
      </c>
      <c r="D34" s="58" t="s">
        <v>604</v>
      </c>
      <c r="E34" s="55" t="e">
        <v>#REF!</v>
      </c>
      <c r="F34" s="55">
        <v>11.39</v>
      </c>
      <c r="G34" s="40"/>
      <c r="H34" s="14">
        <v>125.29</v>
      </c>
      <c r="I34" s="14">
        <v>125.29</v>
      </c>
      <c r="J34" s="14">
        <v>125.29</v>
      </c>
      <c r="K34" s="14">
        <v>134.32</v>
      </c>
      <c r="L34" s="14">
        <v>131.56</v>
      </c>
      <c r="M34" s="14">
        <v>131.56</v>
      </c>
      <c r="N34" s="14">
        <v>0</v>
      </c>
      <c r="O34" s="14">
        <v>0</v>
      </c>
      <c r="P34" s="14">
        <v>0</v>
      </c>
      <c r="Q34" s="14">
        <v>0</v>
      </c>
      <c r="R34" s="14">
        <v>0</v>
      </c>
      <c r="S34" s="14">
        <v>0</v>
      </c>
      <c r="T34" s="81">
        <f t="shared" si="6"/>
        <v>773.31</v>
      </c>
      <c r="U34" s="40"/>
      <c r="V34" s="48"/>
      <c r="W34" s="48"/>
      <c r="X34" s="48"/>
      <c r="Y34" s="48"/>
      <c r="Z34" s="48"/>
      <c r="AA34" s="48"/>
      <c r="AB34" s="48"/>
      <c r="AC34" s="48"/>
      <c r="AD34" s="48"/>
      <c r="AE34" s="48"/>
      <c r="AF34" s="48"/>
      <c r="AG34" s="48"/>
      <c r="AH34" s="40"/>
      <c r="AI34" s="45"/>
      <c r="AJ34" s="45"/>
    </row>
    <row r="35" spans="1:45" x14ac:dyDescent="0.25">
      <c r="A35" t="str">
        <f>"all"&amp;"recycling"&amp;C35</f>
        <v>allrecyclingCRYTRIP</v>
      </c>
      <c r="B35" s="45" t="str">
        <f>"wvanc"&amp;"recycling"&amp;C35</f>
        <v>wvancrecyclingCRYTRIP</v>
      </c>
      <c r="C35" s="58" t="s">
        <v>536</v>
      </c>
      <c r="D35" s="58" t="s">
        <v>616</v>
      </c>
      <c r="E35" s="55" t="e">
        <v>#REF!</v>
      </c>
      <c r="F35" s="55">
        <v>20.72</v>
      </c>
      <c r="G35" s="40"/>
      <c r="H35" s="14">
        <v>0</v>
      </c>
      <c r="I35" s="14">
        <v>0</v>
      </c>
      <c r="J35" s="14">
        <v>0</v>
      </c>
      <c r="K35" s="14">
        <v>0</v>
      </c>
      <c r="L35" s="14">
        <v>21.76</v>
      </c>
      <c r="M35" s="14">
        <v>0</v>
      </c>
      <c r="N35" s="14">
        <v>0</v>
      </c>
      <c r="O35" s="14">
        <v>0</v>
      </c>
      <c r="P35" s="14">
        <v>0</v>
      </c>
      <c r="Q35" s="14">
        <v>0</v>
      </c>
      <c r="R35" s="14">
        <v>0</v>
      </c>
      <c r="S35" s="14">
        <v>0</v>
      </c>
      <c r="T35" s="81">
        <f>SUM(H35:S35)</f>
        <v>21.76</v>
      </c>
      <c r="U35" s="40"/>
      <c r="V35" s="48"/>
      <c r="W35" s="48"/>
      <c r="X35" s="48"/>
      <c r="Y35" s="48"/>
      <c r="Z35" s="48"/>
      <c r="AA35" s="48"/>
      <c r="AB35" s="48"/>
      <c r="AC35" s="48"/>
      <c r="AD35" s="48"/>
      <c r="AE35" s="48"/>
      <c r="AF35" s="48"/>
      <c r="AG35" s="48"/>
      <c r="AH35" s="40"/>
      <c r="AI35" s="45"/>
      <c r="AJ35" s="45"/>
    </row>
    <row r="36" spans="1:45" x14ac:dyDescent="0.25">
      <c r="A36" t="str">
        <f>"all"&amp;"recycling"&amp;C36</f>
        <v>allrecyclingCRYPLACE</v>
      </c>
      <c r="B36" s="45" t="str">
        <f>"wvanc"&amp;"recycling"&amp;C36</f>
        <v>wvancrecyclingCRYPLACE</v>
      </c>
      <c r="C36" s="58" t="s">
        <v>523</v>
      </c>
      <c r="D36" s="58" t="s">
        <v>603</v>
      </c>
      <c r="E36" s="55" t="e">
        <v>#REF!</v>
      </c>
      <c r="F36" s="55">
        <v>42.98</v>
      </c>
      <c r="G36" s="40"/>
      <c r="H36" s="14">
        <v>0</v>
      </c>
      <c r="I36" s="14">
        <v>0</v>
      </c>
      <c r="J36" s="14">
        <v>0</v>
      </c>
      <c r="K36" s="14">
        <v>0</v>
      </c>
      <c r="L36" s="14">
        <v>0</v>
      </c>
      <c r="M36" s="14">
        <v>45.13</v>
      </c>
      <c r="N36" s="14">
        <v>0</v>
      </c>
      <c r="O36" s="14">
        <v>0</v>
      </c>
      <c r="P36" s="14">
        <v>0</v>
      </c>
      <c r="Q36" s="14">
        <v>0</v>
      </c>
      <c r="R36" s="14">
        <v>0</v>
      </c>
      <c r="S36" s="14">
        <v>0</v>
      </c>
      <c r="T36" s="81">
        <f>SUM(H36:S36)</f>
        <v>45.13</v>
      </c>
      <c r="U36" s="40"/>
      <c r="V36" s="48"/>
      <c r="W36" s="48"/>
      <c r="X36" s="48"/>
      <c r="Y36" s="48"/>
      <c r="Z36" s="48"/>
      <c r="AA36" s="48"/>
      <c r="AB36" s="48"/>
      <c r="AC36" s="48"/>
      <c r="AD36" s="48"/>
      <c r="AE36" s="48"/>
      <c r="AF36" s="48"/>
      <c r="AG36" s="48"/>
      <c r="AH36" s="40"/>
      <c r="AI36" s="45"/>
      <c r="AJ36" s="45"/>
    </row>
    <row r="37" spans="1:45" x14ac:dyDescent="0.25">
      <c r="A37" t="str">
        <f t="shared" si="4"/>
        <v>allrecyclingCRYEXC</v>
      </c>
      <c r="B37" s="45" t="str">
        <f t="shared" si="5"/>
        <v>wvancrecyclingCRYEXC</v>
      </c>
      <c r="C37" s="58" t="s">
        <v>519</v>
      </c>
      <c r="D37" s="58" t="s">
        <v>600</v>
      </c>
      <c r="E37" s="55" t="e">
        <v>#REF!</v>
      </c>
      <c r="F37" s="55">
        <v>29.77</v>
      </c>
      <c r="G37" s="40"/>
      <c r="H37" s="14">
        <v>59.54</v>
      </c>
      <c r="I37" s="14">
        <v>0</v>
      </c>
      <c r="J37" s="14">
        <v>119.08</v>
      </c>
      <c r="K37" s="14">
        <v>0</v>
      </c>
      <c r="L37" s="14">
        <v>0</v>
      </c>
      <c r="M37" s="14">
        <v>0</v>
      </c>
      <c r="N37" s="14">
        <v>0</v>
      </c>
      <c r="O37" s="14">
        <v>0</v>
      </c>
      <c r="P37" s="14">
        <v>0</v>
      </c>
      <c r="Q37" s="14">
        <v>0</v>
      </c>
      <c r="R37" s="14">
        <v>0</v>
      </c>
      <c r="S37" s="14">
        <v>0</v>
      </c>
      <c r="T37" s="81">
        <f t="shared" si="6"/>
        <v>178.62</v>
      </c>
      <c r="U37" s="40"/>
      <c r="V37" s="48"/>
      <c r="W37" s="48"/>
      <c r="X37" s="48"/>
      <c r="Y37" s="48"/>
      <c r="Z37" s="48"/>
      <c r="AA37" s="48"/>
      <c r="AB37" s="48"/>
      <c r="AC37" s="48"/>
      <c r="AD37" s="48"/>
      <c r="AE37" s="48"/>
      <c r="AF37" s="48"/>
      <c r="AG37" s="48"/>
      <c r="AH37" s="40"/>
      <c r="AI37" s="45"/>
      <c r="AJ37" s="45"/>
    </row>
    <row r="38" spans="1:45" ht="12" customHeight="1" x14ac:dyDescent="0.25">
      <c r="B38" s="40"/>
      <c r="C38" s="58"/>
      <c r="D38" s="58"/>
      <c r="E38" s="55"/>
      <c r="F38" s="55"/>
      <c r="G38" s="40"/>
      <c r="H38" s="40"/>
      <c r="I38" s="81"/>
      <c r="J38" s="40"/>
      <c r="K38" s="40"/>
      <c r="L38" s="40"/>
      <c r="M38" s="40"/>
      <c r="N38" s="40"/>
      <c r="O38" s="40"/>
      <c r="P38" s="40"/>
      <c r="Q38" s="40"/>
      <c r="R38" s="40"/>
      <c r="S38" s="40"/>
      <c r="T38" s="81"/>
      <c r="U38" s="40"/>
      <c r="V38" s="48"/>
      <c r="W38" s="48"/>
      <c r="X38" s="48"/>
      <c r="Y38" s="48"/>
      <c r="Z38" s="48"/>
      <c r="AA38" s="48"/>
      <c r="AB38" s="48"/>
      <c r="AC38" s="48"/>
      <c r="AD38" s="48"/>
      <c r="AE38" s="48"/>
      <c r="AF38" s="48"/>
      <c r="AG38" s="48"/>
      <c r="AH38" s="40"/>
      <c r="AI38" s="45"/>
      <c r="AJ38" s="45"/>
    </row>
    <row r="39" spans="1:45" ht="12" customHeight="1" x14ac:dyDescent="0.25">
      <c r="B39" s="40"/>
      <c r="C39" s="45"/>
      <c r="D39" s="52" t="s">
        <v>28</v>
      </c>
      <c r="E39" s="55"/>
      <c r="F39" s="55"/>
      <c r="G39" s="40"/>
      <c r="H39" s="74">
        <f t="shared" ref="H39:S39" si="14">SUM(H18:H38)</f>
        <v>2348.39</v>
      </c>
      <c r="I39" s="74">
        <f t="shared" si="14"/>
        <v>2175.5099999999998</v>
      </c>
      <c r="J39" s="74">
        <f t="shared" si="14"/>
        <v>2336.3000000000002</v>
      </c>
      <c r="K39" s="74">
        <f t="shared" si="14"/>
        <v>2345.77</v>
      </c>
      <c r="L39" s="74">
        <f t="shared" si="14"/>
        <v>2364.77</v>
      </c>
      <c r="M39" s="74">
        <f t="shared" si="14"/>
        <v>2302.7200000000003</v>
      </c>
      <c r="N39" s="74">
        <f t="shared" si="14"/>
        <v>0</v>
      </c>
      <c r="O39" s="74">
        <f t="shared" si="14"/>
        <v>0</v>
      </c>
      <c r="P39" s="74">
        <f t="shared" si="14"/>
        <v>0</v>
      </c>
      <c r="Q39" s="74">
        <f t="shared" si="14"/>
        <v>0</v>
      </c>
      <c r="R39" s="74">
        <f t="shared" si="14"/>
        <v>0</v>
      </c>
      <c r="S39" s="74">
        <f t="shared" si="14"/>
        <v>0</v>
      </c>
      <c r="T39" s="74">
        <f>SUM(T18:T38)</f>
        <v>13873.46</v>
      </c>
      <c r="U39" s="40"/>
      <c r="V39" s="191">
        <f t="shared" ref="V39:AI39" si="15">SUM(V18:V26)</f>
        <v>11.427454423995268</v>
      </c>
      <c r="W39" s="191">
        <f t="shared" si="15"/>
        <v>10.927454423995268</v>
      </c>
      <c r="X39" s="191">
        <f t="shared" si="15"/>
        <v>10.427454423995268</v>
      </c>
      <c r="Y39" s="191">
        <f t="shared" si="15"/>
        <v>10.798879244979066</v>
      </c>
      <c r="Z39" s="191">
        <f t="shared" si="15"/>
        <v>10.798879244979066</v>
      </c>
      <c r="AA39" s="191">
        <f t="shared" si="15"/>
        <v>10.798879244979066</v>
      </c>
      <c r="AB39" s="191">
        <f t="shared" si="15"/>
        <v>0</v>
      </c>
      <c r="AC39" s="191">
        <f t="shared" si="15"/>
        <v>0</v>
      </c>
      <c r="AD39" s="191">
        <f t="shared" si="15"/>
        <v>0</v>
      </c>
      <c r="AE39" s="191">
        <f t="shared" si="15"/>
        <v>0</v>
      </c>
      <c r="AF39" s="191">
        <f t="shared" si="15"/>
        <v>0</v>
      </c>
      <c r="AG39" s="191">
        <f t="shared" si="15"/>
        <v>0</v>
      </c>
      <c r="AH39" s="191">
        <f t="shared" si="15"/>
        <v>5.4315834172435835</v>
      </c>
      <c r="AI39" s="191">
        <f t="shared" si="15"/>
        <v>65.179001006922988</v>
      </c>
      <c r="AJ39" s="45"/>
      <c r="AM39" s="196">
        <f>SUM(AM18:AM23)</f>
        <v>0.12500000000000003</v>
      </c>
      <c r="AO39" s="196">
        <f>SUM(AO18:AO23)</f>
        <v>2.7815745266520402</v>
      </c>
      <c r="AQ39" s="196">
        <f>SUM(AQ18:AQ23)</f>
        <v>0</v>
      </c>
      <c r="AS39" s="196">
        <f>SUM(AS18:AS23)</f>
        <v>0</v>
      </c>
    </row>
    <row r="40" spans="1:45" ht="12" customHeight="1" x14ac:dyDescent="0.25">
      <c r="B40" s="40"/>
      <c r="C40" s="45"/>
      <c r="D40" s="45"/>
      <c r="E40" s="55"/>
      <c r="F40" s="55"/>
      <c r="G40" s="40"/>
      <c r="H40" s="40"/>
      <c r="I40" s="81"/>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5"/>
      <c r="AJ40" s="45"/>
    </row>
    <row r="41" spans="1:45" ht="12" customHeight="1" x14ac:dyDescent="0.25">
      <c r="B41" s="40"/>
      <c r="C41" s="70" t="s">
        <v>13</v>
      </c>
      <c r="D41" s="70" t="s">
        <v>13</v>
      </c>
      <c r="E41" s="55"/>
      <c r="F41" s="55"/>
      <c r="G41" s="40"/>
      <c r="H41" s="40"/>
      <c r="I41" s="81"/>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5"/>
      <c r="AJ41" s="45"/>
    </row>
    <row r="42" spans="1:45" ht="12" customHeight="1" x14ac:dyDescent="0.25">
      <c r="B42" s="40"/>
      <c r="C42" s="71"/>
      <c r="D42" s="71"/>
      <c r="E42" s="55"/>
      <c r="F42" s="55"/>
      <c r="G42" s="40"/>
      <c r="H42" s="40"/>
      <c r="I42" s="81"/>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5"/>
      <c r="AJ42" s="45"/>
    </row>
    <row r="43" spans="1:45" ht="12" customHeight="1" x14ac:dyDescent="0.25">
      <c r="B43" s="40"/>
      <c r="C43" s="62" t="s">
        <v>14</v>
      </c>
      <c r="D43" s="62" t="s">
        <v>14</v>
      </c>
      <c r="E43" s="55"/>
      <c r="F43" s="55"/>
      <c r="G43" s="40"/>
      <c r="H43" s="40"/>
      <c r="I43" s="81"/>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5"/>
      <c r="AJ43" s="45"/>
    </row>
    <row r="44" spans="1:45" ht="12" customHeight="1" x14ac:dyDescent="0.25">
      <c r="B44" s="40"/>
      <c r="C44" s="45"/>
      <c r="D44" s="45"/>
      <c r="E44" s="55"/>
      <c r="F44" s="55"/>
      <c r="G44" s="40"/>
      <c r="H44" s="40"/>
      <c r="I44" s="81"/>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5"/>
      <c r="AJ44" s="45"/>
    </row>
    <row r="45" spans="1:45" ht="12" customHeight="1" x14ac:dyDescent="0.25">
      <c r="B45" s="40"/>
      <c r="C45" s="45"/>
      <c r="D45" s="52" t="s">
        <v>15</v>
      </c>
      <c r="E45" s="55"/>
      <c r="F45" s="55"/>
      <c r="G45" s="40"/>
      <c r="H45" s="74">
        <f t="shared" ref="H45:T45" si="16">SUM(H44:H44)</f>
        <v>0</v>
      </c>
      <c r="I45" s="74">
        <f t="shared" si="16"/>
        <v>0</v>
      </c>
      <c r="J45" s="74">
        <f t="shared" si="16"/>
        <v>0</v>
      </c>
      <c r="K45" s="74">
        <f t="shared" si="16"/>
        <v>0</v>
      </c>
      <c r="L45" s="74">
        <f t="shared" si="16"/>
        <v>0</v>
      </c>
      <c r="M45" s="74">
        <f t="shared" si="16"/>
        <v>0</v>
      </c>
      <c r="N45" s="74">
        <f t="shared" si="16"/>
        <v>0</v>
      </c>
      <c r="O45" s="74">
        <f t="shared" si="16"/>
        <v>0</v>
      </c>
      <c r="P45" s="74">
        <f t="shared" si="16"/>
        <v>0</v>
      </c>
      <c r="Q45" s="74">
        <f t="shared" si="16"/>
        <v>0</v>
      </c>
      <c r="R45" s="74">
        <f t="shared" si="16"/>
        <v>0</v>
      </c>
      <c r="S45" s="74">
        <f t="shared" si="16"/>
        <v>0</v>
      </c>
      <c r="T45" s="74">
        <f t="shared" si="16"/>
        <v>0</v>
      </c>
      <c r="U45" s="40"/>
      <c r="V45" s="191">
        <v>0</v>
      </c>
      <c r="W45" s="191">
        <v>0</v>
      </c>
      <c r="X45" s="191">
        <v>0</v>
      </c>
      <c r="Y45" s="191">
        <v>0</v>
      </c>
      <c r="Z45" s="191">
        <v>0</v>
      </c>
      <c r="AA45" s="191">
        <v>0</v>
      </c>
      <c r="AB45" s="191">
        <v>0</v>
      </c>
      <c r="AC45" s="191">
        <v>0</v>
      </c>
      <c r="AD45" s="191">
        <v>0</v>
      </c>
      <c r="AE45" s="191">
        <v>0</v>
      </c>
      <c r="AF45" s="191">
        <v>0</v>
      </c>
      <c r="AG45" s="191">
        <v>0</v>
      </c>
      <c r="AH45" s="191">
        <v>0</v>
      </c>
      <c r="AI45" s="45"/>
      <c r="AJ45" s="45"/>
      <c r="AM45" s="196">
        <v>0</v>
      </c>
      <c r="AO45" s="196">
        <v>0</v>
      </c>
      <c r="AQ45" s="196">
        <v>0</v>
      </c>
      <c r="AS45" s="196">
        <v>0</v>
      </c>
    </row>
    <row r="46" spans="1:45" ht="12" customHeight="1" x14ac:dyDescent="0.25">
      <c r="B46" s="40"/>
      <c r="C46" s="45"/>
      <c r="D46" s="52"/>
      <c r="E46" s="55"/>
      <c r="F46" s="55"/>
      <c r="G46" s="40"/>
      <c r="H46" s="79"/>
      <c r="I46" s="98"/>
      <c r="J46" s="79"/>
      <c r="K46" s="79"/>
      <c r="L46" s="79"/>
      <c r="M46" s="79"/>
      <c r="N46" s="79"/>
      <c r="O46" s="79"/>
      <c r="P46" s="79"/>
      <c r="Q46" s="79"/>
      <c r="R46" s="79"/>
      <c r="S46" s="79"/>
      <c r="T46" s="79"/>
      <c r="U46" s="40"/>
      <c r="V46" s="40"/>
      <c r="W46" s="40"/>
      <c r="X46" s="40"/>
      <c r="Y46" s="40"/>
      <c r="Z46" s="40"/>
      <c r="AA46" s="40"/>
      <c r="AB46" s="40"/>
      <c r="AC46" s="40"/>
      <c r="AD46" s="40"/>
      <c r="AE46" s="40"/>
      <c r="AF46" s="40"/>
      <c r="AG46" s="40"/>
      <c r="AH46" s="40"/>
      <c r="AI46" s="45"/>
      <c r="AJ46" s="45"/>
    </row>
    <row r="47" spans="1:45" s="45" customFormat="1" ht="12" customHeight="1" x14ac:dyDescent="0.2">
      <c r="C47" s="42" t="s">
        <v>42</v>
      </c>
      <c r="D47" s="42" t="s">
        <v>42</v>
      </c>
      <c r="E47" s="55"/>
      <c r="F47" s="55"/>
      <c r="G47" s="46"/>
      <c r="H47" s="46"/>
      <c r="I47" s="106"/>
      <c r="J47" s="54"/>
      <c r="K47" s="49"/>
      <c r="L47" s="49"/>
    </row>
    <row r="48" spans="1:45" s="45" customFormat="1" ht="12" customHeight="1" x14ac:dyDescent="0.2">
      <c r="C48" s="40"/>
      <c r="D48" s="40"/>
      <c r="E48" s="55"/>
      <c r="F48" s="55"/>
      <c r="G48" s="55"/>
      <c r="H48" s="46"/>
      <c r="I48" s="81"/>
      <c r="J48" s="48"/>
      <c r="K48" s="49"/>
      <c r="L48" s="49"/>
      <c r="O48" s="46"/>
    </row>
    <row r="49" spans="2:45" s="45" customFormat="1" ht="12" customHeight="1" x14ac:dyDescent="0.2">
      <c r="C49" s="40"/>
      <c r="D49" s="52" t="s">
        <v>43</v>
      </c>
      <c r="E49" s="55"/>
      <c r="F49" s="55"/>
      <c r="G49" s="55"/>
      <c r="H49" s="74">
        <f t="shared" ref="H49:T49" si="17">SUM(H48:H48)</f>
        <v>0</v>
      </c>
      <c r="I49" s="74">
        <f t="shared" si="17"/>
        <v>0</v>
      </c>
      <c r="J49" s="74">
        <f t="shared" si="17"/>
        <v>0</v>
      </c>
      <c r="K49" s="74">
        <f t="shared" si="17"/>
        <v>0</v>
      </c>
      <c r="L49" s="74">
        <f t="shared" si="17"/>
        <v>0</v>
      </c>
      <c r="M49" s="74">
        <f t="shared" si="17"/>
        <v>0</v>
      </c>
      <c r="N49" s="74">
        <f t="shared" si="17"/>
        <v>0</v>
      </c>
      <c r="O49" s="74">
        <f t="shared" si="17"/>
        <v>0</v>
      </c>
      <c r="P49" s="74">
        <f t="shared" si="17"/>
        <v>0</v>
      </c>
      <c r="Q49" s="74">
        <f t="shared" si="17"/>
        <v>0</v>
      </c>
      <c r="R49" s="74">
        <f t="shared" si="17"/>
        <v>0</v>
      </c>
      <c r="S49" s="74">
        <f t="shared" si="17"/>
        <v>0</v>
      </c>
      <c r="T49" s="74">
        <f t="shared" si="17"/>
        <v>0</v>
      </c>
      <c r="V49" s="185">
        <v>0</v>
      </c>
      <c r="W49" s="185">
        <v>0</v>
      </c>
      <c r="X49" s="185">
        <v>0</v>
      </c>
      <c r="Y49" s="185">
        <v>0</v>
      </c>
      <c r="Z49" s="185">
        <v>0</v>
      </c>
      <c r="AA49" s="185">
        <v>0</v>
      </c>
      <c r="AB49" s="185">
        <v>0</v>
      </c>
      <c r="AC49" s="185">
        <v>0</v>
      </c>
      <c r="AD49" s="185">
        <v>0</v>
      </c>
      <c r="AE49" s="185">
        <v>0</v>
      </c>
      <c r="AF49" s="185">
        <v>0</v>
      </c>
      <c r="AG49" s="185">
        <v>0</v>
      </c>
      <c r="AH49" s="185">
        <v>0</v>
      </c>
      <c r="AM49" s="186">
        <v>0</v>
      </c>
      <c r="AO49" s="186">
        <v>0</v>
      </c>
      <c r="AQ49" s="186">
        <v>0</v>
      </c>
      <c r="AS49" s="186">
        <v>0</v>
      </c>
    </row>
    <row r="50" spans="2:45" ht="12" customHeight="1" x14ac:dyDescent="0.25">
      <c r="B50" s="40"/>
      <c r="C50" s="45"/>
      <c r="D50" s="45"/>
      <c r="E50" s="55"/>
      <c r="F50" s="55"/>
      <c r="G50" s="40"/>
      <c r="H50" s="40"/>
      <c r="I50" s="81"/>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5"/>
      <c r="AJ50" s="45"/>
    </row>
    <row r="51" spans="2:45" ht="12" customHeight="1" x14ac:dyDescent="0.25">
      <c r="B51" s="40"/>
      <c r="C51" s="62" t="s">
        <v>16</v>
      </c>
      <c r="D51" s="62" t="s">
        <v>16</v>
      </c>
      <c r="E51" s="55"/>
      <c r="F51" s="55"/>
      <c r="G51" s="40"/>
      <c r="H51" s="40"/>
      <c r="I51" s="81"/>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5"/>
      <c r="AJ51" s="45"/>
    </row>
    <row r="52" spans="2:45" ht="12" customHeight="1" x14ac:dyDescent="0.25">
      <c r="B52" s="40"/>
      <c r="C52" s="58"/>
      <c r="D52" s="58"/>
      <c r="E52" s="55"/>
      <c r="F52" s="55"/>
      <c r="G52" s="40"/>
      <c r="H52" s="40"/>
      <c r="I52" s="81"/>
      <c r="J52" s="40"/>
      <c r="K52" s="40"/>
      <c r="L52" s="40"/>
      <c r="M52" s="40"/>
      <c r="N52" s="40"/>
      <c r="O52" s="40"/>
      <c r="P52" s="40"/>
      <c r="Q52" s="40"/>
      <c r="R52" s="40"/>
      <c r="S52" s="40"/>
      <c r="T52" s="81"/>
      <c r="U52" s="40"/>
      <c r="V52" s="40"/>
      <c r="W52" s="40"/>
      <c r="X52" s="40"/>
      <c r="Y52" s="40"/>
      <c r="Z52" s="40"/>
      <c r="AA52" s="40"/>
      <c r="AB52" s="40"/>
      <c r="AC52" s="40"/>
      <c r="AD52" s="40"/>
      <c r="AE52" s="40"/>
      <c r="AF52" s="40"/>
      <c r="AG52" s="40"/>
      <c r="AH52" s="40"/>
      <c r="AI52" s="45"/>
      <c r="AJ52" s="45"/>
    </row>
    <row r="53" spans="2:45" ht="12" customHeight="1" x14ac:dyDescent="0.25">
      <c r="B53" s="40"/>
      <c r="C53" s="45"/>
      <c r="D53" s="52" t="s">
        <v>17</v>
      </c>
      <c r="E53" s="55"/>
      <c r="F53" s="55"/>
      <c r="G53" s="40"/>
      <c r="H53" s="74">
        <f t="shared" ref="H53:T53" si="18">SUM(H52:H52)</f>
        <v>0</v>
      </c>
      <c r="I53" s="74">
        <f t="shared" si="18"/>
        <v>0</v>
      </c>
      <c r="J53" s="74">
        <f t="shared" si="18"/>
        <v>0</v>
      </c>
      <c r="K53" s="74">
        <f t="shared" si="18"/>
        <v>0</v>
      </c>
      <c r="L53" s="74">
        <f t="shared" si="18"/>
        <v>0</v>
      </c>
      <c r="M53" s="74">
        <f t="shared" si="18"/>
        <v>0</v>
      </c>
      <c r="N53" s="74">
        <f t="shared" si="18"/>
        <v>0</v>
      </c>
      <c r="O53" s="74">
        <f t="shared" si="18"/>
        <v>0</v>
      </c>
      <c r="P53" s="74">
        <f t="shared" si="18"/>
        <v>0</v>
      </c>
      <c r="Q53" s="74">
        <f t="shared" si="18"/>
        <v>0</v>
      </c>
      <c r="R53" s="74">
        <f t="shared" si="18"/>
        <v>0</v>
      </c>
      <c r="S53" s="74">
        <f t="shared" si="18"/>
        <v>0</v>
      </c>
      <c r="T53" s="74">
        <f t="shared" si="18"/>
        <v>0</v>
      </c>
      <c r="U53" s="40"/>
      <c r="V53" s="40"/>
      <c r="W53" s="40"/>
      <c r="X53" s="40"/>
      <c r="Y53" s="40"/>
      <c r="Z53" s="40"/>
      <c r="AA53" s="40"/>
      <c r="AB53" s="40"/>
      <c r="AC53" s="40"/>
      <c r="AD53" s="40"/>
      <c r="AE53" s="40"/>
      <c r="AF53" s="40"/>
      <c r="AG53" s="40"/>
      <c r="AH53" s="40"/>
      <c r="AI53" s="45"/>
      <c r="AJ53" s="45"/>
    </row>
    <row r="54" spans="2:45" ht="12" customHeight="1" x14ac:dyDescent="0.25">
      <c r="B54" s="40"/>
      <c r="C54" s="45"/>
      <c r="D54" s="52"/>
      <c r="E54" s="55"/>
      <c r="F54" s="55"/>
      <c r="G54" s="40"/>
      <c r="H54" s="79"/>
      <c r="I54" s="98"/>
      <c r="J54" s="79"/>
      <c r="K54" s="79"/>
      <c r="L54" s="79"/>
      <c r="M54" s="79"/>
      <c r="N54" s="79"/>
      <c r="O54" s="79"/>
      <c r="P54" s="79"/>
      <c r="Q54" s="79"/>
      <c r="R54" s="79"/>
      <c r="S54" s="79"/>
      <c r="T54" s="79"/>
      <c r="U54" s="40"/>
      <c r="V54" s="40"/>
      <c r="W54" s="40"/>
      <c r="X54" s="40"/>
      <c r="Y54" s="40"/>
      <c r="Z54" s="40"/>
      <c r="AA54" s="40"/>
      <c r="AB54" s="40"/>
      <c r="AC54" s="40"/>
      <c r="AD54" s="40"/>
      <c r="AE54" s="40"/>
      <c r="AF54" s="40"/>
      <c r="AG54" s="40"/>
      <c r="AH54" s="40"/>
      <c r="AI54" s="45"/>
      <c r="AJ54" s="45"/>
    </row>
    <row r="55" spans="2:45" s="45" customFormat="1" ht="12" customHeight="1" x14ac:dyDescent="0.2">
      <c r="C55" s="71" t="s">
        <v>18</v>
      </c>
      <c r="D55" s="71" t="s">
        <v>18</v>
      </c>
      <c r="E55" s="55"/>
      <c r="F55" s="55"/>
      <c r="G55" s="55"/>
      <c r="H55" s="46"/>
      <c r="I55" s="46" t="str">
        <f>IF(G55="","",(#REF!/G55)+(#REF!/E55))</f>
        <v/>
      </c>
      <c r="J55" s="49" t="str">
        <f>IF(G55="","",I55/12)</f>
        <v/>
      </c>
      <c r="T55" s="73"/>
      <c r="V55" s="48"/>
      <c r="W55" s="48"/>
      <c r="X55" s="48"/>
      <c r="Y55" s="48"/>
      <c r="Z55" s="48"/>
      <c r="AA55" s="48"/>
      <c r="AB55" s="48"/>
      <c r="AC55" s="48"/>
      <c r="AD55" s="48"/>
      <c r="AE55" s="48"/>
      <c r="AF55" s="48"/>
      <c r="AG55" s="48"/>
      <c r="AH55" s="40"/>
    </row>
    <row r="56" spans="2:45" s="45" customFormat="1" ht="12" customHeight="1" x14ac:dyDescent="0.2">
      <c r="B56" s="45" t="str">
        <f>"Wvanc"&amp;"Accounting"&amp;C56</f>
        <v>WvancAccountingMM</v>
      </c>
      <c r="C56" s="58" t="s">
        <v>1010</v>
      </c>
      <c r="D56" s="58" t="s">
        <v>1011</v>
      </c>
      <c r="E56" s="55">
        <v>0</v>
      </c>
      <c r="F56" s="55">
        <v>0</v>
      </c>
      <c r="G56" s="55"/>
      <c r="H56" s="14">
        <v>0</v>
      </c>
      <c r="I56" s="14">
        <v>0</v>
      </c>
      <c r="J56" s="14">
        <v>0</v>
      </c>
      <c r="K56" s="14">
        <v>0</v>
      </c>
      <c r="L56" s="14">
        <v>0</v>
      </c>
      <c r="M56" s="14">
        <v>0</v>
      </c>
      <c r="N56" s="14">
        <v>0</v>
      </c>
      <c r="O56" s="14">
        <v>0</v>
      </c>
      <c r="P56" s="14">
        <v>0</v>
      </c>
      <c r="Q56" s="14">
        <v>0</v>
      </c>
      <c r="R56" s="14">
        <v>0</v>
      </c>
      <c r="S56" s="14">
        <v>0</v>
      </c>
      <c r="T56" s="81">
        <f>SUM(H56:S56)</f>
        <v>0</v>
      </c>
      <c r="V56" s="48"/>
      <c r="W56" s="48"/>
      <c r="X56" s="48"/>
      <c r="Y56" s="48"/>
      <c r="Z56" s="48"/>
      <c r="AA56" s="48"/>
      <c r="AB56" s="48"/>
      <c r="AC56" s="48"/>
      <c r="AD56" s="48"/>
      <c r="AE56" s="48"/>
      <c r="AF56" s="48"/>
      <c r="AG56" s="48"/>
      <c r="AH56" s="40"/>
    </row>
    <row r="57" spans="2:45" s="45" customFormat="1" ht="12" customHeight="1" x14ac:dyDescent="0.2">
      <c r="B57" s="45" t="str">
        <f>"Wvanc"&amp;"Accounting"&amp;C57</f>
        <v>WvancAccountingFINCHG</v>
      </c>
      <c r="C57" s="58" t="s">
        <v>19</v>
      </c>
      <c r="D57" s="58" t="s">
        <v>1360</v>
      </c>
      <c r="E57" s="55"/>
      <c r="F57" s="55"/>
      <c r="G57" s="55"/>
      <c r="H57" s="14">
        <v>0</v>
      </c>
      <c r="I57" s="14">
        <v>5.12</v>
      </c>
      <c r="J57" s="14">
        <v>0</v>
      </c>
      <c r="K57" s="14">
        <v>0</v>
      </c>
      <c r="L57" s="14">
        <v>0</v>
      </c>
      <c r="M57" s="14">
        <v>0</v>
      </c>
      <c r="N57" s="14">
        <v>0</v>
      </c>
      <c r="O57" s="14">
        <v>0</v>
      </c>
      <c r="P57" s="14">
        <v>0</v>
      </c>
      <c r="Q57" s="14">
        <v>0</v>
      </c>
      <c r="R57" s="14">
        <v>0</v>
      </c>
      <c r="S57" s="14">
        <v>0</v>
      </c>
      <c r="T57" s="81">
        <f>SUM(H57:S57)</f>
        <v>5.12</v>
      </c>
      <c r="V57" s="48"/>
      <c r="W57" s="48"/>
      <c r="X57" s="48"/>
      <c r="Y57" s="48"/>
      <c r="Z57" s="48"/>
      <c r="AA57" s="48"/>
      <c r="AB57" s="48"/>
      <c r="AC57" s="48"/>
      <c r="AD57" s="48"/>
      <c r="AE57" s="48"/>
      <c r="AF57" s="48"/>
      <c r="AG57" s="48"/>
      <c r="AH57" s="40"/>
    </row>
    <row r="58" spans="2:45" ht="12" customHeight="1" x14ac:dyDescent="0.25">
      <c r="B58" s="40"/>
      <c r="C58" s="45"/>
      <c r="D58" s="52" t="s">
        <v>24</v>
      </c>
      <c r="E58" s="40"/>
      <c r="F58" s="40"/>
      <c r="G58" s="40"/>
      <c r="H58" s="74">
        <f>SUM(H56:H56)</f>
        <v>0</v>
      </c>
      <c r="I58" s="74">
        <f>SUM(I56:I57)</f>
        <v>5.12</v>
      </c>
      <c r="J58" s="74">
        <f t="shared" ref="J58:T58" si="19">SUM(J56:J56)</f>
        <v>0</v>
      </c>
      <c r="K58" s="74">
        <f t="shared" si="19"/>
        <v>0</v>
      </c>
      <c r="L58" s="74">
        <f>SUM(L56:L57)</f>
        <v>0</v>
      </c>
      <c r="M58" s="74">
        <f t="shared" si="19"/>
        <v>0</v>
      </c>
      <c r="N58" s="74">
        <f t="shared" si="19"/>
        <v>0</v>
      </c>
      <c r="O58" s="74">
        <f t="shared" si="19"/>
        <v>0</v>
      </c>
      <c r="P58" s="74">
        <f t="shared" si="19"/>
        <v>0</v>
      </c>
      <c r="Q58" s="74">
        <f t="shared" si="19"/>
        <v>0</v>
      </c>
      <c r="R58" s="74">
        <f t="shared" si="19"/>
        <v>0</v>
      </c>
      <c r="S58" s="74">
        <f t="shared" si="19"/>
        <v>0</v>
      </c>
      <c r="T58" s="74">
        <f t="shared" si="19"/>
        <v>0</v>
      </c>
      <c r="U58" s="40"/>
      <c r="V58" s="40"/>
      <c r="W58" s="40"/>
      <c r="X58" s="40"/>
      <c r="Y58" s="40"/>
      <c r="Z58" s="40"/>
      <c r="AA58" s="40"/>
      <c r="AB58" s="40"/>
      <c r="AC58" s="40"/>
      <c r="AD58" s="40"/>
      <c r="AE58" s="40"/>
      <c r="AF58" s="40"/>
      <c r="AG58" s="40"/>
      <c r="AH58" s="40"/>
    </row>
    <row r="59" spans="2:45" s="45" customFormat="1" ht="12" customHeight="1" x14ac:dyDescent="0.2">
      <c r="C59" s="58"/>
      <c r="D59" s="58"/>
      <c r="E59" s="55"/>
      <c r="F59" s="55"/>
      <c r="G59" s="55"/>
      <c r="H59" s="49"/>
      <c r="I59" s="46"/>
      <c r="J59" s="49"/>
      <c r="T59" s="73"/>
      <c r="V59" s="48"/>
      <c r="W59" s="48"/>
      <c r="X59" s="48"/>
      <c r="Y59" s="48"/>
      <c r="Z59" s="48"/>
      <c r="AA59" s="48"/>
      <c r="AB59" s="48"/>
      <c r="AC59" s="48"/>
      <c r="AD59" s="48"/>
      <c r="AE59" s="48"/>
      <c r="AF59" s="48"/>
      <c r="AG59" s="48"/>
      <c r="AH59" s="40"/>
    </row>
    <row r="60" spans="2:45" ht="12" customHeight="1" x14ac:dyDescent="0.25">
      <c r="B60" s="40"/>
      <c r="C60" s="45"/>
      <c r="D60" s="52"/>
      <c r="E60" s="40"/>
      <c r="F60" s="40"/>
      <c r="G60" s="40"/>
      <c r="H60" s="40"/>
      <c r="I60" s="81"/>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2:45" ht="12" customHeight="1" x14ac:dyDescent="0.25">
      <c r="B61" s="40"/>
      <c r="C61" s="62"/>
      <c r="D61" s="52" t="s">
        <v>25</v>
      </c>
      <c r="E61" s="40"/>
      <c r="F61" s="40"/>
      <c r="G61" s="40"/>
      <c r="H61" s="74">
        <f t="shared" ref="H61:T61" si="20">SUM(H39,H45,H49,H53,H58,H15)</f>
        <v>2485.5899999999997</v>
      </c>
      <c r="I61" s="74">
        <f t="shared" si="20"/>
        <v>2317.8299999999995</v>
      </c>
      <c r="J61" s="74">
        <f t="shared" si="20"/>
        <v>2473.5</v>
      </c>
      <c r="K61" s="74">
        <f t="shared" si="20"/>
        <v>2482.9699999999998</v>
      </c>
      <c r="L61" s="74">
        <f t="shared" si="20"/>
        <v>2501.9699999999998</v>
      </c>
      <c r="M61" s="74">
        <f t="shared" si="20"/>
        <v>2475</v>
      </c>
      <c r="N61" s="74">
        <f t="shared" si="20"/>
        <v>0</v>
      </c>
      <c r="O61" s="74">
        <f t="shared" si="20"/>
        <v>0</v>
      </c>
      <c r="P61" s="74">
        <f t="shared" si="20"/>
        <v>0</v>
      </c>
      <c r="Q61" s="74">
        <f t="shared" si="20"/>
        <v>0</v>
      </c>
      <c r="R61" s="74">
        <f t="shared" si="20"/>
        <v>0</v>
      </c>
      <c r="S61" s="74">
        <f t="shared" si="20"/>
        <v>0</v>
      </c>
      <c r="T61" s="74">
        <f t="shared" si="20"/>
        <v>14731.74</v>
      </c>
      <c r="U61" s="40"/>
      <c r="V61" s="40"/>
      <c r="W61" s="40"/>
      <c r="X61" s="40"/>
      <c r="Y61" s="40"/>
      <c r="Z61" s="40"/>
      <c r="AA61" s="40"/>
      <c r="AB61" s="40"/>
      <c r="AC61" s="40"/>
      <c r="AD61" s="40"/>
      <c r="AE61" s="40"/>
      <c r="AF61" s="40"/>
      <c r="AG61" s="40"/>
      <c r="AH61" s="40"/>
    </row>
    <row r="62" spans="2:45" x14ac:dyDescent="0.25">
      <c r="B62" s="40"/>
      <c r="C62" s="62"/>
      <c r="D62" s="62"/>
      <c r="E62" s="40"/>
      <c r="F62" s="40"/>
      <c r="G62" s="40"/>
      <c r="H62" s="40"/>
      <c r="I62" s="81"/>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2:45" x14ac:dyDescent="0.25">
      <c r="B63" s="40"/>
      <c r="C63" s="40"/>
      <c r="D63" s="40"/>
      <c r="E63" s="40" t="s">
        <v>1104</v>
      </c>
      <c r="F63" s="40" t="s">
        <v>1104</v>
      </c>
      <c r="G63" s="40"/>
      <c r="H63" s="144">
        <v>2485.5899999999997</v>
      </c>
      <c r="I63" s="144">
        <v>2317.8300000000004</v>
      </c>
      <c r="J63" s="144">
        <v>2473.5</v>
      </c>
      <c r="K63" s="144">
        <v>2482.9700000000003</v>
      </c>
      <c r="L63" s="144">
        <v>2501.9700000000003</v>
      </c>
      <c r="M63" s="144">
        <v>2475</v>
      </c>
      <c r="N63" s="144">
        <v>0</v>
      </c>
      <c r="O63" s="144">
        <v>0</v>
      </c>
      <c r="P63" s="144">
        <v>0</v>
      </c>
      <c r="Q63" s="144">
        <v>0</v>
      </c>
      <c r="R63" s="144">
        <v>0</v>
      </c>
      <c r="S63" s="144">
        <v>0</v>
      </c>
      <c r="T63" s="100">
        <f>SUM(H63:S63)</f>
        <v>14736.86</v>
      </c>
      <c r="U63" s="40"/>
      <c r="V63" s="40"/>
      <c r="W63" s="40"/>
      <c r="X63" s="40"/>
      <c r="Y63" s="40"/>
      <c r="Z63" s="40"/>
      <c r="AA63" s="40"/>
      <c r="AB63" s="40"/>
      <c r="AC63" s="40"/>
      <c r="AD63" s="40"/>
      <c r="AE63" s="40"/>
      <c r="AF63" s="40"/>
      <c r="AG63" s="40"/>
      <c r="AH63" s="40"/>
    </row>
    <row r="64" spans="2:45" x14ac:dyDescent="0.25">
      <c r="B64" s="40"/>
      <c r="C64" s="40"/>
      <c r="D64" s="40"/>
      <c r="E64" s="40"/>
      <c r="F64" s="40"/>
      <c r="G64" s="40"/>
      <c r="H64" s="99">
        <f>+H61-H63</f>
        <v>0</v>
      </c>
      <c r="I64" s="81">
        <f>+I61-I63</f>
        <v>0</v>
      </c>
      <c r="J64" s="81">
        <f>+J61-J63</f>
        <v>0</v>
      </c>
      <c r="K64" s="81">
        <f t="shared" ref="K64:S64" si="21">+K61-K63</f>
        <v>0</v>
      </c>
      <c r="L64" s="81">
        <f t="shared" si="21"/>
        <v>0</v>
      </c>
      <c r="M64" s="81">
        <f t="shared" si="21"/>
        <v>0</v>
      </c>
      <c r="N64" s="81">
        <f t="shared" si="21"/>
        <v>0</v>
      </c>
      <c r="O64" s="81">
        <f t="shared" si="21"/>
        <v>0</v>
      </c>
      <c r="P64" s="81">
        <f t="shared" si="21"/>
        <v>0</v>
      </c>
      <c r="Q64" s="81">
        <f>+Q61-Q63</f>
        <v>0</v>
      </c>
      <c r="R64" s="81">
        <f>+R61-R63</f>
        <v>0</v>
      </c>
      <c r="S64" s="81">
        <f t="shared" si="21"/>
        <v>0</v>
      </c>
      <c r="T64" s="100">
        <f>SUM(H64:S64)</f>
        <v>0</v>
      </c>
      <c r="U64" s="40"/>
      <c r="V64" s="40"/>
      <c r="W64" s="40"/>
      <c r="X64" s="40"/>
      <c r="Y64" s="40"/>
      <c r="Z64" s="40"/>
      <c r="AA64" s="40"/>
      <c r="AB64" s="40"/>
      <c r="AC64" s="40"/>
      <c r="AD64" s="40"/>
      <c r="AE64" s="40"/>
      <c r="AF64" s="40"/>
      <c r="AG64" s="40"/>
      <c r="AH64" s="40"/>
    </row>
    <row r="65" spans="2:34" x14ac:dyDescent="0.25">
      <c r="B65" s="40"/>
      <c r="C65" s="40"/>
      <c r="D65" s="40"/>
      <c r="E65" s="40"/>
      <c r="F65" s="40"/>
      <c r="G65" s="40"/>
      <c r="H65" s="40"/>
      <c r="I65" s="81"/>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row>
    <row r="66" spans="2:34" x14ac:dyDescent="0.25">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2:34" x14ac:dyDescent="0.25">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2:34" x14ac:dyDescent="0.25">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sheetData>
  <mergeCells count="4">
    <mergeCell ref="AL4:AM4"/>
    <mergeCell ref="AN4:AO4"/>
    <mergeCell ref="AP4:AQ4"/>
    <mergeCell ref="AR4:AS4"/>
  </mergeCells>
  <conditionalFormatting sqref="AJ3:AJ56">
    <cfRule type="cellIs" dxfId="0" priority="1" operator="greaterThan">
      <formula>0</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theme="6" tint="0.59999389629810485"/>
  </sheetPr>
  <dimension ref="A1:AF47"/>
  <sheetViews>
    <sheetView showGridLines="0" view="pageBreakPreview" zoomScale="60" zoomScaleNormal="90" workbookViewId="0">
      <pane xSplit="4" ySplit="6" topLeftCell="E7" activePane="bottomRight" state="frozen"/>
      <selection activeCell="M20" sqref="M20"/>
      <selection pane="topRight" activeCell="M20" sqref="M20"/>
      <selection pane="bottomLeft" activeCell="M20" sqref="M20"/>
      <selection pane="bottomRight" activeCell="F1" sqref="F1"/>
    </sheetView>
  </sheetViews>
  <sheetFormatPr defaultRowHeight="15" outlineLevelCol="1" x14ac:dyDescent="0.25"/>
  <cols>
    <col min="1" max="1" width="22.7109375" customWidth="1"/>
    <col min="2" max="2" width="29.140625" bestFit="1" customWidth="1"/>
    <col min="3" max="3" width="17.5703125" bestFit="1" customWidth="1"/>
    <col min="4" max="4" width="2" customWidth="1"/>
    <col min="5" max="6" width="17.28515625" bestFit="1" customWidth="1" outlineLevel="1"/>
    <col min="7" max="8" width="16.28515625" bestFit="1" customWidth="1" outlineLevel="1"/>
    <col min="9" max="10" width="17.28515625" bestFit="1" customWidth="1" outlineLevel="1"/>
    <col min="11" max="11" width="16.28515625" bestFit="1" customWidth="1" outlineLevel="1"/>
    <col min="12" max="12" width="17.28515625" bestFit="1" customWidth="1" outlineLevel="1"/>
    <col min="13" max="13" width="16.85546875" bestFit="1" customWidth="1" outlineLevel="1"/>
    <col min="14" max="15" width="17.28515625" bestFit="1" customWidth="1" outlineLevel="1"/>
    <col min="16" max="16" width="16.28515625" bestFit="1" customWidth="1" outlineLevel="1"/>
    <col min="17" max="17" width="17.5703125" bestFit="1" customWidth="1"/>
    <col min="18" max="18" width="9.140625" customWidth="1" outlineLevel="1"/>
    <col min="19" max="19" width="9" customWidth="1" outlineLevel="1"/>
    <col min="20" max="30" width="8.42578125" customWidth="1" outlineLevel="1"/>
    <col min="32" max="32" width="12.5703125" bestFit="1" customWidth="1"/>
  </cols>
  <sheetData>
    <row r="1" spans="1:32" ht="12" customHeight="1" x14ac:dyDescent="0.25">
      <c r="A1" s="57" t="s">
        <v>45</v>
      </c>
      <c r="B1" s="1"/>
      <c r="C1" s="3"/>
      <c r="D1" s="1"/>
      <c r="E1" s="1"/>
      <c r="G1" s="1"/>
      <c r="H1" s="1"/>
      <c r="I1" s="1"/>
      <c r="J1" s="1"/>
      <c r="K1" s="1"/>
      <c r="L1" s="1"/>
      <c r="M1" s="1"/>
      <c r="N1" s="1"/>
      <c r="O1" s="1"/>
      <c r="P1" s="1"/>
      <c r="Q1" s="1"/>
      <c r="R1" s="1"/>
      <c r="S1" s="1"/>
      <c r="T1" s="1"/>
      <c r="U1" s="1"/>
      <c r="V1" s="1"/>
      <c r="W1" s="1"/>
      <c r="X1" s="1"/>
      <c r="Y1" s="1"/>
      <c r="Z1" s="1"/>
      <c r="AA1" s="1"/>
      <c r="AB1" s="1"/>
      <c r="AC1" s="1"/>
      <c r="AD1" s="1"/>
    </row>
    <row r="2" spans="1:32" ht="12" customHeight="1" x14ac:dyDescent="0.25">
      <c r="A2" s="57" t="s">
        <v>1100</v>
      </c>
      <c r="B2" s="1"/>
      <c r="C2" s="3"/>
      <c r="D2" s="1"/>
      <c r="E2" s="1"/>
      <c r="F2" s="1"/>
      <c r="G2" s="1"/>
      <c r="H2" s="1"/>
      <c r="I2" s="1"/>
      <c r="J2" s="1"/>
      <c r="K2" s="1"/>
      <c r="L2" s="1"/>
      <c r="M2" s="1"/>
      <c r="N2" s="1"/>
      <c r="O2" s="1"/>
      <c r="P2" s="1"/>
      <c r="Q2" s="1"/>
      <c r="R2" s="1"/>
      <c r="S2" s="1"/>
      <c r="T2" s="1"/>
      <c r="U2" s="1"/>
      <c r="V2" s="1"/>
      <c r="W2" s="1"/>
      <c r="X2" s="1"/>
      <c r="Y2" s="1"/>
      <c r="Z2" s="1"/>
      <c r="AA2" s="1"/>
      <c r="AB2" s="1"/>
      <c r="AC2" s="1"/>
      <c r="AD2" s="1"/>
    </row>
    <row r="3" spans="1:32" ht="12" customHeight="1" x14ac:dyDescent="0.25">
      <c r="A3" s="2" t="s">
        <v>1371</v>
      </c>
      <c r="B3" s="1"/>
      <c r="C3" s="3"/>
      <c r="D3" s="1"/>
      <c r="E3" s="1"/>
      <c r="F3" s="1"/>
      <c r="G3" s="1"/>
      <c r="H3" s="4"/>
      <c r="I3" s="1"/>
      <c r="J3" s="1"/>
      <c r="K3" s="1"/>
      <c r="L3" s="1"/>
      <c r="M3" s="1"/>
      <c r="N3" s="1"/>
      <c r="O3" s="1"/>
      <c r="P3" s="1"/>
      <c r="Q3" s="1"/>
      <c r="R3" s="1"/>
      <c r="S3" s="1"/>
      <c r="T3" s="1"/>
      <c r="U3" s="1"/>
      <c r="V3" s="1"/>
      <c r="W3" s="1"/>
      <c r="X3" s="1"/>
      <c r="Y3" s="1"/>
      <c r="Z3" s="1"/>
      <c r="AA3" s="1"/>
      <c r="AB3" s="1"/>
      <c r="AC3" s="1"/>
      <c r="AD3" s="1"/>
    </row>
    <row r="4" spans="1:32" ht="12" customHeight="1" x14ac:dyDescent="0.25">
      <c r="A4" s="1"/>
      <c r="B4" s="5"/>
      <c r="C4" s="34" t="s">
        <v>1359</v>
      </c>
      <c r="D4" s="1"/>
      <c r="E4" s="36">
        <v>45017</v>
      </c>
      <c r="F4" s="36">
        <v>45047</v>
      </c>
      <c r="G4" s="36">
        <v>45078</v>
      </c>
      <c r="H4" s="36">
        <v>45108</v>
      </c>
      <c r="I4" s="36">
        <v>45139</v>
      </c>
      <c r="J4" s="36">
        <v>45170</v>
      </c>
      <c r="K4" s="36">
        <v>45200</v>
      </c>
      <c r="L4" s="36">
        <v>45231</v>
      </c>
      <c r="M4" s="36">
        <v>45261</v>
      </c>
      <c r="N4" s="36">
        <v>45292</v>
      </c>
      <c r="O4" s="36">
        <v>45323</v>
      </c>
      <c r="P4" s="36">
        <v>45352</v>
      </c>
      <c r="Q4" s="112" t="s">
        <v>1370</v>
      </c>
      <c r="R4" s="1"/>
      <c r="S4" s="38">
        <v>45017</v>
      </c>
      <c r="T4" s="38">
        <v>45047</v>
      </c>
      <c r="U4" s="38">
        <v>45078</v>
      </c>
      <c r="V4" s="38">
        <v>45108</v>
      </c>
      <c r="W4" s="38">
        <v>45139</v>
      </c>
      <c r="X4" s="38">
        <v>45170</v>
      </c>
      <c r="Y4" s="38">
        <v>45200</v>
      </c>
      <c r="Z4" s="38">
        <v>45231</v>
      </c>
      <c r="AA4" s="38">
        <v>45261</v>
      </c>
      <c r="AB4" s="38">
        <v>45292</v>
      </c>
      <c r="AC4" s="38">
        <v>45323</v>
      </c>
      <c r="AD4" s="38">
        <v>45352</v>
      </c>
      <c r="AE4" s="92" t="s">
        <v>1169</v>
      </c>
      <c r="AF4" s="92" t="s">
        <v>1370</v>
      </c>
    </row>
    <row r="5" spans="1:32" ht="12" customHeight="1" x14ac:dyDescent="0.25">
      <c r="A5" s="6" t="s">
        <v>0</v>
      </c>
      <c r="B5" s="5" t="s">
        <v>1</v>
      </c>
      <c r="C5" s="35" t="s">
        <v>1305</v>
      </c>
      <c r="D5" s="5"/>
      <c r="E5" s="37" t="s">
        <v>21</v>
      </c>
      <c r="F5" s="37" t="s">
        <v>21</v>
      </c>
      <c r="G5" s="37" t="s">
        <v>21</v>
      </c>
      <c r="H5" s="37" t="s">
        <v>21</v>
      </c>
      <c r="I5" s="37" t="s">
        <v>21</v>
      </c>
      <c r="J5" s="37" t="s">
        <v>21</v>
      </c>
      <c r="K5" s="37" t="s">
        <v>21</v>
      </c>
      <c r="L5" s="37" t="s">
        <v>21</v>
      </c>
      <c r="M5" s="37" t="s">
        <v>21</v>
      </c>
      <c r="N5" s="37" t="s">
        <v>21</v>
      </c>
      <c r="O5" s="37" t="s">
        <v>21</v>
      </c>
      <c r="P5" s="37" t="s">
        <v>21</v>
      </c>
      <c r="Q5" s="37" t="s">
        <v>21</v>
      </c>
      <c r="R5" s="1"/>
      <c r="S5" s="39" t="s">
        <v>27</v>
      </c>
      <c r="T5" s="39" t="s">
        <v>27</v>
      </c>
      <c r="U5" s="39" t="s">
        <v>27</v>
      </c>
      <c r="V5" s="39" t="s">
        <v>27</v>
      </c>
      <c r="W5" s="39" t="s">
        <v>27</v>
      </c>
      <c r="X5" s="39" t="s">
        <v>27</v>
      </c>
      <c r="Y5" s="39" t="s">
        <v>27</v>
      </c>
      <c r="Z5" s="39" t="s">
        <v>27</v>
      </c>
      <c r="AA5" s="39" t="s">
        <v>27</v>
      </c>
      <c r="AB5" s="39" t="s">
        <v>27</v>
      </c>
      <c r="AC5" s="39" t="s">
        <v>27</v>
      </c>
      <c r="AD5" s="39" t="s">
        <v>27</v>
      </c>
      <c r="AE5" s="39" t="s">
        <v>27</v>
      </c>
      <c r="AF5" s="39" t="s">
        <v>27</v>
      </c>
    </row>
    <row r="6" spans="1:32" ht="12" customHeight="1" x14ac:dyDescent="0.25"/>
    <row r="7" spans="1:32" ht="12" customHeight="1" x14ac:dyDescent="0.25">
      <c r="E7" s="45">
        <v>6</v>
      </c>
      <c r="F7">
        <v>7</v>
      </c>
      <c r="G7">
        <v>8</v>
      </c>
      <c r="H7">
        <v>9</v>
      </c>
      <c r="I7">
        <v>10</v>
      </c>
      <c r="J7">
        <v>11</v>
      </c>
      <c r="K7">
        <v>12</v>
      </c>
      <c r="L7">
        <v>13</v>
      </c>
      <c r="M7">
        <v>14</v>
      </c>
      <c r="N7">
        <v>3</v>
      </c>
      <c r="O7">
        <v>4</v>
      </c>
      <c r="P7">
        <v>5</v>
      </c>
    </row>
    <row r="8" spans="1:32" ht="12" customHeight="1" x14ac:dyDescent="0.25">
      <c r="E8" s="115">
        <v>0</v>
      </c>
      <c r="F8" s="115">
        <v>0</v>
      </c>
      <c r="G8" s="115">
        <v>0</v>
      </c>
      <c r="H8" s="115">
        <v>0</v>
      </c>
      <c r="I8" s="115">
        <v>0</v>
      </c>
      <c r="J8" s="115">
        <v>0</v>
      </c>
      <c r="K8" s="115">
        <v>0</v>
      </c>
      <c r="L8" s="115">
        <v>0</v>
      </c>
      <c r="M8" s="115">
        <v>0</v>
      </c>
      <c r="N8" s="115">
        <v>0</v>
      </c>
      <c r="O8" s="115">
        <v>0</v>
      </c>
      <c r="P8" s="115">
        <v>0</v>
      </c>
    </row>
    <row r="9" spans="1:32" s="1" customFormat="1" ht="12" customHeight="1" x14ac:dyDescent="0.2">
      <c r="A9" s="45"/>
      <c r="B9" s="45"/>
      <c r="C9" s="53"/>
      <c r="D9" s="45"/>
      <c r="E9" s="45"/>
      <c r="F9" s="45"/>
      <c r="G9" s="45"/>
      <c r="H9" s="45"/>
      <c r="I9" s="45"/>
      <c r="J9" s="45"/>
      <c r="K9" s="45"/>
      <c r="L9" s="45"/>
      <c r="M9" s="45"/>
      <c r="N9" s="45"/>
      <c r="O9" s="45"/>
      <c r="P9" s="45"/>
      <c r="Q9" s="45"/>
      <c r="R9" s="45"/>
      <c r="S9" s="45"/>
      <c r="T9" s="45"/>
      <c r="U9" s="45"/>
      <c r="V9" s="45"/>
      <c r="W9" s="45"/>
      <c r="X9" s="45"/>
      <c r="Y9" s="45"/>
      <c r="Z9" s="45"/>
      <c r="AA9" s="45"/>
      <c r="AB9" s="45"/>
      <c r="AC9" s="45"/>
      <c r="AD9" s="45"/>
      <c r="AF9" s="40"/>
    </row>
    <row r="10" spans="1:32" ht="12" customHeight="1" x14ac:dyDescent="0.25">
      <c r="A10" s="70" t="s">
        <v>917</v>
      </c>
      <c r="B10" s="70" t="s">
        <v>917</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F10" s="40"/>
    </row>
    <row r="11" spans="1:32" ht="12" customHeight="1" x14ac:dyDescent="0.25">
      <c r="A11" s="70"/>
      <c r="B11" s="7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F11" s="40"/>
    </row>
    <row r="12" spans="1:32" ht="12" customHeight="1" x14ac:dyDescent="0.25">
      <c r="A12" s="42" t="s">
        <v>12</v>
      </c>
      <c r="B12" s="42" t="s">
        <v>12</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F12" s="40"/>
    </row>
    <row r="13" spans="1:32" s="262" customFormat="1" ht="12" customHeight="1" x14ac:dyDescent="0.25">
      <c r="A13" s="232" t="s">
        <v>1039</v>
      </c>
      <c r="B13" s="249" t="s">
        <v>1040</v>
      </c>
      <c r="C13" s="274">
        <v>10.050000000000001</v>
      </c>
      <c r="D13" s="274"/>
      <c r="E13" s="243">
        <v>14402.720000000001</v>
      </c>
      <c r="F13" s="243">
        <v>15457.71</v>
      </c>
      <c r="G13" s="243">
        <v>14614.09</v>
      </c>
      <c r="H13" s="243">
        <v>14362.990000000002</v>
      </c>
      <c r="I13" s="243">
        <v>15561.55</v>
      </c>
      <c r="J13" s="243">
        <v>13783.000000000002</v>
      </c>
      <c r="K13" s="243">
        <v>14526.48</v>
      </c>
      <c r="L13" s="243">
        <v>13289.29</v>
      </c>
      <c r="M13" s="243">
        <v>15172.220000000001</v>
      </c>
      <c r="N13" s="243">
        <v>12802.060000000001</v>
      </c>
      <c r="O13" s="243">
        <v>14981.58</v>
      </c>
      <c r="P13" s="243">
        <v>16526.560000000001</v>
      </c>
      <c r="Q13" s="276">
        <f t="shared" ref="Q13:Q28" si="0">SUM(E13:P13)</f>
        <v>175480.25</v>
      </c>
      <c r="R13" s="274"/>
      <c r="S13" s="264">
        <f>+E13/$C13</f>
        <v>1433.1064676616916</v>
      </c>
      <c r="T13" s="264">
        <f t="shared" ref="T13:AD13" si="1">+F13/$C13</f>
        <v>1538.0805970149252</v>
      </c>
      <c r="U13" s="264">
        <f t="shared" si="1"/>
        <v>1454.1383084577114</v>
      </c>
      <c r="V13" s="264">
        <f t="shared" si="1"/>
        <v>1429.1532338308459</v>
      </c>
      <c r="W13" s="264">
        <f t="shared" si="1"/>
        <v>1548.412935323383</v>
      </c>
      <c r="X13" s="264">
        <f t="shared" si="1"/>
        <v>1371.4427860696519</v>
      </c>
      <c r="Y13" s="264">
        <f t="shared" si="1"/>
        <v>1445.4208955223878</v>
      </c>
      <c r="Z13" s="264">
        <f t="shared" si="1"/>
        <v>1322.3174129353233</v>
      </c>
      <c r="AA13" s="264">
        <f t="shared" si="1"/>
        <v>1509.6736318407961</v>
      </c>
      <c r="AB13" s="264">
        <f t="shared" si="1"/>
        <v>1273.8368159203981</v>
      </c>
      <c r="AC13" s="264">
        <f t="shared" si="1"/>
        <v>1490.7044776119401</v>
      </c>
      <c r="AD13" s="264">
        <f t="shared" si="1"/>
        <v>1644.4338308457711</v>
      </c>
      <c r="AE13" s="256">
        <f>AVERAGE(S13:AD13)</f>
        <v>1455.0601160862354</v>
      </c>
      <c r="AF13" s="265">
        <f>+SUM(S13:AD13)</f>
        <v>17460.721393034826</v>
      </c>
    </row>
    <row r="14" spans="1:32" s="262" customFormat="1" ht="12" customHeight="1" x14ac:dyDescent="0.25">
      <c r="A14" s="232" t="s">
        <v>1041</v>
      </c>
      <c r="B14" s="249" t="s">
        <v>1042</v>
      </c>
      <c r="C14" s="274">
        <v>10.050000000000001</v>
      </c>
      <c r="D14" s="274"/>
      <c r="E14" s="243">
        <v>4835.75</v>
      </c>
      <c r="F14" s="243">
        <v>5450.27</v>
      </c>
      <c r="G14" s="243">
        <v>5025.74</v>
      </c>
      <c r="H14" s="243">
        <v>4993.0199999999995</v>
      </c>
      <c r="I14" s="243">
        <v>4605.03</v>
      </c>
      <c r="J14" s="243">
        <v>5099.8099999999995</v>
      </c>
      <c r="K14" s="243">
        <v>4552.6399999999994</v>
      </c>
      <c r="L14" s="243">
        <v>4956.62</v>
      </c>
      <c r="M14" s="243">
        <v>4718.29</v>
      </c>
      <c r="N14" s="243">
        <v>3851.01</v>
      </c>
      <c r="O14" s="243">
        <v>5047.369999999999</v>
      </c>
      <c r="P14" s="243">
        <v>5758.0999999999995</v>
      </c>
      <c r="Q14" s="276">
        <f t="shared" si="0"/>
        <v>58893.65</v>
      </c>
      <c r="R14" s="274"/>
      <c r="S14" s="264">
        <f>+E14/$C14</f>
        <v>481.16915422885569</v>
      </c>
      <c r="T14" s="264">
        <f t="shared" ref="T14:AD16" si="2">+F14/$C14</f>
        <v>542.31542288557216</v>
      </c>
      <c r="U14" s="264">
        <f t="shared" si="2"/>
        <v>500.07363184079594</v>
      </c>
      <c r="V14" s="264">
        <f t="shared" si="2"/>
        <v>496.81791044776111</v>
      </c>
      <c r="W14" s="264">
        <f t="shared" si="2"/>
        <v>458.21194029850739</v>
      </c>
      <c r="X14" s="264">
        <f t="shared" si="2"/>
        <v>507.44378109452725</v>
      </c>
      <c r="Y14" s="264">
        <f t="shared" si="2"/>
        <v>452.99900497512431</v>
      </c>
      <c r="Z14" s="264">
        <f t="shared" si="2"/>
        <v>493.19601990049745</v>
      </c>
      <c r="AA14" s="264">
        <f t="shared" si="2"/>
        <v>469.48159203980094</v>
      </c>
      <c r="AB14" s="264">
        <f t="shared" si="2"/>
        <v>383.18507462686568</v>
      </c>
      <c r="AC14" s="264">
        <f t="shared" si="2"/>
        <v>502.22587064676605</v>
      </c>
      <c r="AD14" s="264">
        <f t="shared" si="2"/>
        <v>572.94527363184068</v>
      </c>
      <c r="AE14" s="256">
        <f>AVERAGE(S14:AD14)</f>
        <v>488.33872305140954</v>
      </c>
      <c r="AF14" s="265">
        <f>+SUM(S14:AD14)</f>
        <v>5860.0646766169148</v>
      </c>
    </row>
    <row r="15" spans="1:32" s="262" customFormat="1" ht="12" customHeight="1" x14ac:dyDescent="0.25">
      <c r="A15" s="232" t="s">
        <v>1045</v>
      </c>
      <c r="B15" s="249" t="s">
        <v>1046</v>
      </c>
      <c r="C15" s="274">
        <v>13.82</v>
      </c>
      <c r="D15" s="274"/>
      <c r="E15" s="243">
        <v>13706.830000000002</v>
      </c>
      <c r="F15" s="243">
        <v>16749.419999999998</v>
      </c>
      <c r="G15" s="243">
        <v>15658.269999999999</v>
      </c>
      <c r="H15" s="243">
        <v>15953.53</v>
      </c>
      <c r="I15" s="243">
        <v>15656.92</v>
      </c>
      <c r="J15" s="243">
        <v>15104.33</v>
      </c>
      <c r="K15" s="243">
        <v>14709.21</v>
      </c>
      <c r="L15" s="243">
        <v>15102.439999999999</v>
      </c>
      <c r="M15" s="243">
        <v>14668.62</v>
      </c>
      <c r="N15" s="243">
        <v>12890.140000000001</v>
      </c>
      <c r="O15" s="243">
        <v>15810.679999999998</v>
      </c>
      <c r="P15" s="243">
        <v>17062.57</v>
      </c>
      <c r="Q15" s="276">
        <f t="shared" si="0"/>
        <v>183072.96000000002</v>
      </c>
      <c r="R15" s="274"/>
      <c r="S15" s="264">
        <f>+E15/$C15</f>
        <v>991.81114327062244</v>
      </c>
      <c r="T15" s="264">
        <f t="shared" si="2"/>
        <v>1211.969609261939</v>
      </c>
      <c r="U15" s="264">
        <f t="shared" si="2"/>
        <v>1133.0151953690304</v>
      </c>
      <c r="V15" s="264">
        <f t="shared" si="2"/>
        <v>1154.3798842257597</v>
      </c>
      <c r="W15" s="264">
        <f t="shared" si="2"/>
        <v>1132.917510853835</v>
      </c>
      <c r="X15" s="264">
        <f t="shared" si="2"/>
        <v>1092.9327062228654</v>
      </c>
      <c r="Y15" s="264">
        <f t="shared" si="2"/>
        <v>1064.3422575976845</v>
      </c>
      <c r="Z15" s="264">
        <f t="shared" si="2"/>
        <v>1092.7959479015917</v>
      </c>
      <c r="AA15" s="264">
        <f t="shared" si="2"/>
        <v>1061.4052098408104</v>
      </c>
      <c r="AB15" s="264">
        <f t="shared" si="2"/>
        <v>932.7163531114328</v>
      </c>
      <c r="AC15" s="264">
        <f t="shared" si="2"/>
        <v>1144.0434153400868</v>
      </c>
      <c r="AD15" s="264">
        <f t="shared" si="2"/>
        <v>1234.6287988422575</v>
      </c>
      <c r="AE15" s="256">
        <f>AVERAGE(S15:AD15)</f>
        <v>1103.9131693198265</v>
      </c>
      <c r="AF15" s="265">
        <f>+SUM(S15:AD15)</f>
        <v>13246.958031837918</v>
      </c>
    </row>
    <row r="16" spans="1:32" s="262" customFormat="1" ht="12" customHeight="1" x14ac:dyDescent="0.25">
      <c r="A16" s="232" t="s">
        <v>1035</v>
      </c>
      <c r="B16" s="249" t="s">
        <v>1036</v>
      </c>
      <c r="C16" s="274">
        <v>13.82</v>
      </c>
      <c r="D16" s="274"/>
      <c r="E16" s="243">
        <v>7913.3099999999986</v>
      </c>
      <c r="F16" s="243">
        <v>6093.6</v>
      </c>
      <c r="G16" s="243">
        <v>7563.55</v>
      </c>
      <c r="H16" s="243">
        <v>5241.13</v>
      </c>
      <c r="I16" s="243">
        <v>6041.28</v>
      </c>
      <c r="J16" s="243">
        <v>5416.95</v>
      </c>
      <c r="K16" s="243">
        <v>5317.54</v>
      </c>
      <c r="L16" s="243">
        <v>5337.65</v>
      </c>
      <c r="M16" s="243">
        <v>5933.9299999999994</v>
      </c>
      <c r="N16" s="243">
        <v>3733.95</v>
      </c>
      <c r="O16" s="243">
        <v>5698.2300000000005</v>
      </c>
      <c r="P16" s="243">
        <v>5986.81</v>
      </c>
      <c r="Q16" s="276">
        <f t="shared" si="0"/>
        <v>70277.930000000008</v>
      </c>
      <c r="R16" s="274"/>
      <c r="S16" s="264">
        <f>+E16/$C16</f>
        <v>572.59840810419666</v>
      </c>
      <c r="T16" s="264">
        <f t="shared" si="2"/>
        <v>440.92619392185242</v>
      </c>
      <c r="U16" s="264">
        <f t="shared" si="2"/>
        <v>547.29015918958032</v>
      </c>
      <c r="V16" s="264">
        <f t="shared" si="2"/>
        <v>379.24240231548481</v>
      </c>
      <c r="W16" s="264">
        <f t="shared" si="2"/>
        <v>437.14037626628073</v>
      </c>
      <c r="X16" s="264">
        <f t="shared" si="2"/>
        <v>391.96454413892906</v>
      </c>
      <c r="Y16" s="264">
        <f t="shared" si="2"/>
        <v>384.77134587554269</v>
      </c>
      <c r="Z16" s="264">
        <f t="shared" si="2"/>
        <v>386.22648335745293</v>
      </c>
      <c r="AA16" s="264">
        <f t="shared" si="2"/>
        <v>429.37264833574523</v>
      </c>
      <c r="AB16" s="264">
        <f t="shared" si="2"/>
        <v>270.18451519536899</v>
      </c>
      <c r="AC16" s="264">
        <f t="shared" si="2"/>
        <v>412.31765557163533</v>
      </c>
      <c r="AD16" s="264">
        <f t="shared" si="2"/>
        <v>433.19898697539799</v>
      </c>
      <c r="AE16" s="256">
        <f>AVERAGE(S16:AD16)</f>
        <v>423.76947660395558</v>
      </c>
      <c r="AF16" s="265">
        <f>+SUM(S16:AD16)</f>
        <v>5085.233719247467</v>
      </c>
    </row>
    <row r="17" spans="1:32" ht="12" customHeight="1" x14ac:dyDescent="0.25">
      <c r="A17" s="58" t="s">
        <v>1037</v>
      </c>
      <c r="B17" s="89" t="s">
        <v>1038</v>
      </c>
      <c r="C17" s="81"/>
      <c r="D17" s="40"/>
      <c r="E17" s="14">
        <v>1454</v>
      </c>
      <c r="F17" s="14">
        <v>1112.1400000000001</v>
      </c>
      <c r="G17" s="14">
        <v>1006.6999999999999</v>
      </c>
      <c r="H17" s="14">
        <v>837.18000000000006</v>
      </c>
      <c r="I17" s="14">
        <v>1160.04</v>
      </c>
      <c r="J17" s="14">
        <v>682.72</v>
      </c>
      <c r="K17" s="14">
        <v>384.24</v>
      </c>
      <c r="L17" s="14">
        <v>634.16</v>
      </c>
      <c r="M17" s="14">
        <v>804.1</v>
      </c>
      <c r="N17" s="14">
        <v>831.12</v>
      </c>
      <c r="O17" s="14">
        <v>3008.92</v>
      </c>
      <c r="P17" s="14">
        <v>1778.76</v>
      </c>
      <c r="Q17" s="81">
        <f t="shared" si="0"/>
        <v>13694.080000000002</v>
      </c>
      <c r="R17" s="40"/>
      <c r="S17" s="48"/>
      <c r="T17" s="48"/>
      <c r="U17" s="48"/>
      <c r="V17" s="48"/>
      <c r="W17" s="48"/>
      <c r="X17" s="48"/>
      <c r="Y17" s="48"/>
      <c r="Z17" s="48"/>
      <c r="AA17" s="48"/>
      <c r="AB17" s="48"/>
      <c r="AC17" s="48"/>
      <c r="AD17" s="48"/>
      <c r="AF17" s="40"/>
    </row>
    <row r="18" spans="1:32" ht="12" customHeight="1" x14ac:dyDescent="0.25">
      <c r="A18" s="58" t="s">
        <v>1084</v>
      </c>
      <c r="B18" s="89" t="s">
        <v>1085</v>
      </c>
      <c r="C18" s="81"/>
      <c r="D18" s="40"/>
      <c r="E18" s="14">
        <v>0</v>
      </c>
      <c r="F18" s="14">
        <v>0</v>
      </c>
      <c r="G18" s="14">
        <v>70</v>
      </c>
      <c r="H18" s="14">
        <v>2510</v>
      </c>
      <c r="I18" s="14">
        <v>0</v>
      </c>
      <c r="J18" s="14">
        <v>0</v>
      </c>
      <c r="K18" s="14">
        <v>550</v>
      </c>
      <c r="L18" s="14">
        <v>0</v>
      </c>
      <c r="M18" s="14">
        <v>0</v>
      </c>
      <c r="N18" s="14">
        <v>0</v>
      </c>
      <c r="O18" s="14">
        <v>120</v>
      </c>
      <c r="P18" s="14">
        <v>30</v>
      </c>
      <c r="Q18" s="81">
        <f t="shared" si="0"/>
        <v>3280</v>
      </c>
      <c r="R18" s="40"/>
      <c r="S18" s="48"/>
      <c r="T18" s="48"/>
      <c r="U18" s="48"/>
      <c r="V18" s="48"/>
      <c r="W18" s="48"/>
      <c r="X18" s="48"/>
      <c r="Y18" s="48"/>
      <c r="Z18" s="48"/>
      <c r="AA18" s="48"/>
      <c r="AB18" s="48"/>
      <c r="AC18" s="48"/>
      <c r="AD18" s="48"/>
      <c r="AF18" s="40"/>
    </row>
    <row r="19" spans="1:32" ht="12" customHeight="1" x14ac:dyDescent="0.25">
      <c r="A19" s="58" t="s">
        <v>1043</v>
      </c>
      <c r="B19" s="89" t="s">
        <v>1044</v>
      </c>
      <c r="C19" s="81"/>
      <c r="D19" s="40"/>
      <c r="E19" s="14">
        <v>0</v>
      </c>
      <c r="F19" s="14">
        <v>2</v>
      </c>
      <c r="G19" s="14">
        <v>688.5</v>
      </c>
      <c r="H19" s="14">
        <v>1.86</v>
      </c>
      <c r="I19" s="14">
        <v>104.08</v>
      </c>
      <c r="J19" s="14">
        <v>50</v>
      </c>
      <c r="K19" s="14">
        <v>4</v>
      </c>
      <c r="L19" s="14">
        <v>24</v>
      </c>
      <c r="M19" s="14">
        <v>0</v>
      </c>
      <c r="N19" s="14">
        <v>4</v>
      </c>
      <c r="O19" s="14">
        <v>389.28</v>
      </c>
      <c r="P19" s="14">
        <v>48</v>
      </c>
      <c r="Q19" s="81">
        <f t="shared" si="0"/>
        <v>1315.72</v>
      </c>
      <c r="R19" s="40"/>
      <c r="S19" s="48"/>
      <c r="T19" s="48"/>
      <c r="U19" s="48"/>
      <c r="V19" s="48"/>
      <c r="W19" s="48"/>
      <c r="X19" s="48"/>
      <c r="Y19" s="48"/>
      <c r="Z19" s="48"/>
      <c r="AA19" s="48"/>
      <c r="AB19" s="48"/>
      <c r="AC19" s="48"/>
      <c r="AD19" s="48"/>
      <c r="AF19" s="40"/>
    </row>
    <row r="20" spans="1:32" ht="12" customHeight="1" x14ac:dyDescent="0.25">
      <c r="A20" s="58" t="s">
        <v>1049</v>
      </c>
      <c r="B20" s="89" t="s">
        <v>1050</v>
      </c>
      <c r="C20" s="81"/>
      <c r="D20" s="40"/>
      <c r="E20" s="14">
        <v>10159</v>
      </c>
      <c r="F20" s="14">
        <v>9107</v>
      </c>
      <c r="G20" s="14">
        <v>7925</v>
      </c>
      <c r="H20" s="14">
        <v>7470</v>
      </c>
      <c r="I20" s="14">
        <v>10445.4</v>
      </c>
      <c r="J20" s="14">
        <v>6769.36</v>
      </c>
      <c r="K20" s="14">
        <v>12956.5</v>
      </c>
      <c r="L20" s="14">
        <v>9060.7999999999993</v>
      </c>
      <c r="M20" s="14">
        <v>2815.5</v>
      </c>
      <c r="N20" s="14">
        <v>10409.4</v>
      </c>
      <c r="O20" s="14">
        <v>10185.719999999999</v>
      </c>
      <c r="P20" s="14">
        <v>9650.82</v>
      </c>
      <c r="Q20" s="81">
        <f t="shared" si="0"/>
        <v>106954.5</v>
      </c>
      <c r="R20" s="40"/>
      <c r="S20" s="48"/>
      <c r="T20" s="48"/>
      <c r="U20" s="48"/>
      <c r="V20" s="48"/>
      <c r="W20" s="48"/>
      <c r="X20" s="48"/>
      <c r="Y20" s="48"/>
      <c r="Z20" s="48"/>
      <c r="AA20" s="48"/>
      <c r="AB20" s="48"/>
      <c r="AC20" s="48"/>
      <c r="AD20" s="48"/>
      <c r="AF20" s="40"/>
    </row>
    <row r="21" spans="1:32" ht="12" customHeight="1" x14ac:dyDescent="0.25">
      <c r="A21" s="45" t="s">
        <v>1088</v>
      </c>
      <c r="B21" s="89" t="s">
        <v>1089</v>
      </c>
      <c r="C21" s="81"/>
      <c r="D21" s="40"/>
      <c r="E21" s="14">
        <v>150</v>
      </c>
      <c r="F21" s="14">
        <v>490</v>
      </c>
      <c r="G21" s="14">
        <v>195</v>
      </c>
      <c r="H21" s="14">
        <v>570</v>
      </c>
      <c r="I21" s="14">
        <v>490</v>
      </c>
      <c r="J21" s="14">
        <v>645</v>
      </c>
      <c r="K21" s="14">
        <v>715</v>
      </c>
      <c r="L21" s="14">
        <v>525</v>
      </c>
      <c r="M21" s="14">
        <v>645</v>
      </c>
      <c r="N21" s="14">
        <v>390</v>
      </c>
      <c r="O21" s="14">
        <v>425</v>
      </c>
      <c r="P21" s="14">
        <v>500</v>
      </c>
      <c r="Q21" s="81">
        <f t="shared" si="0"/>
        <v>5740</v>
      </c>
      <c r="R21" s="40"/>
      <c r="S21" s="48"/>
      <c r="T21" s="48"/>
      <c r="U21" s="48"/>
      <c r="V21" s="48"/>
      <c r="W21" s="48"/>
      <c r="X21" s="48"/>
      <c r="Y21" s="48"/>
      <c r="Z21" s="48"/>
      <c r="AA21" s="48"/>
      <c r="AB21" s="48"/>
      <c r="AC21" s="48"/>
      <c r="AD21" s="48"/>
      <c r="AF21" s="40"/>
    </row>
    <row r="22" spans="1:32" ht="12" customHeight="1" x14ac:dyDescent="0.25">
      <c r="A22" s="45" t="s">
        <v>1127</v>
      </c>
      <c r="B22" s="89" t="s">
        <v>1128</v>
      </c>
      <c r="C22" s="81"/>
      <c r="D22" s="40"/>
      <c r="E22" s="14">
        <v>0</v>
      </c>
      <c r="F22" s="14">
        <v>15</v>
      </c>
      <c r="G22" s="14">
        <v>0</v>
      </c>
      <c r="H22" s="14">
        <v>0</v>
      </c>
      <c r="I22" s="14">
        <v>0</v>
      </c>
      <c r="J22" s="14">
        <v>40</v>
      </c>
      <c r="K22" s="14">
        <v>0</v>
      </c>
      <c r="L22" s="14">
        <v>0</v>
      </c>
      <c r="M22" s="14">
        <v>0</v>
      </c>
      <c r="N22" s="14">
        <v>0</v>
      </c>
      <c r="O22" s="14">
        <v>0</v>
      </c>
      <c r="P22" s="14">
        <v>0</v>
      </c>
      <c r="Q22" s="81">
        <f t="shared" si="0"/>
        <v>55</v>
      </c>
      <c r="R22" s="40"/>
      <c r="S22" s="48"/>
      <c r="T22" s="48"/>
      <c r="U22" s="48"/>
      <c r="V22" s="48"/>
      <c r="W22" s="48"/>
      <c r="X22" s="48"/>
      <c r="Y22" s="48"/>
      <c r="Z22" s="48"/>
      <c r="AA22" s="48"/>
      <c r="AB22" s="48"/>
      <c r="AC22" s="48"/>
      <c r="AD22" s="48"/>
      <c r="AF22" s="40"/>
    </row>
    <row r="23" spans="1:32" ht="12" customHeight="1" x14ac:dyDescent="0.25">
      <c r="A23" s="45" t="s">
        <v>1185</v>
      </c>
      <c r="B23" s="89" t="s">
        <v>1186</v>
      </c>
      <c r="C23" s="81"/>
      <c r="D23" s="40"/>
      <c r="E23" s="14">
        <v>119</v>
      </c>
      <c r="F23" s="14">
        <v>127.5</v>
      </c>
      <c r="G23" s="14">
        <v>153</v>
      </c>
      <c r="H23" s="14">
        <v>85</v>
      </c>
      <c r="I23" s="14">
        <v>157.04</v>
      </c>
      <c r="J23" s="14">
        <v>51</v>
      </c>
      <c r="K23" s="14">
        <v>102</v>
      </c>
      <c r="L23" s="14">
        <v>42.5</v>
      </c>
      <c r="M23" s="14">
        <v>102</v>
      </c>
      <c r="N23" s="14">
        <v>34</v>
      </c>
      <c r="O23" s="14">
        <v>42.5</v>
      </c>
      <c r="P23" s="14">
        <v>51</v>
      </c>
      <c r="Q23" s="81">
        <f t="shared" si="0"/>
        <v>1066.54</v>
      </c>
      <c r="R23" s="40"/>
      <c r="S23" s="48"/>
      <c r="T23" s="48"/>
      <c r="U23" s="48"/>
      <c r="V23" s="48"/>
      <c r="W23" s="48"/>
      <c r="X23" s="48"/>
      <c r="Y23" s="48"/>
      <c r="Z23" s="48"/>
      <c r="AA23" s="48"/>
      <c r="AB23" s="48"/>
      <c r="AC23" s="48"/>
      <c r="AD23" s="48"/>
      <c r="AF23" s="40"/>
    </row>
    <row r="24" spans="1:32" ht="12" customHeight="1" x14ac:dyDescent="0.25">
      <c r="A24" s="45" t="s">
        <v>1281</v>
      </c>
      <c r="B24" s="89" t="s">
        <v>1282</v>
      </c>
      <c r="C24" s="81"/>
      <c r="D24" s="40"/>
      <c r="E24" s="14">
        <v>0</v>
      </c>
      <c r="F24" s="14">
        <v>40</v>
      </c>
      <c r="G24" s="14">
        <v>0</v>
      </c>
      <c r="H24" s="14">
        <v>0</v>
      </c>
      <c r="I24" s="14">
        <v>0</v>
      </c>
      <c r="J24" s="14">
        <v>0</v>
      </c>
      <c r="K24" s="14">
        <v>0</v>
      </c>
      <c r="L24" s="14">
        <v>0</v>
      </c>
      <c r="M24" s="14">
        <v>0</v>
      </c>
      <c r="N24" s="14">
        <v>0</v>
      </c>
      <c r="O24" s="14">
        <v>0</v>
      </c>
      <c r="P24" s="14">
        <v>0</v>
      </c>
      <c r="Q24" s="81">
        <f t="shared" si="0"/>
        <v>40</v>
      </c>
      <c r="R24" s="40"/>
      <c r="S24" s="48"/>
      <c r="T24" s="48"/>
      <c r="U24" s="48"/>
      <c r="V24" s="48"/>
      <c r="W24" s="48"/>
      <c r="X24" s="48"/>
      <c r="Y24" s="48"/>
      <c r="Z24" s="48"/>
      <c r="AA24" s="48"/>
      <c r="AB24" s="48"/>
      <c r="AC24" s="48"/>
      <c r="AD24" s="48"/>
      <c r="AF24" s="40"/>
    </row>
    <row r="25" spans="1:32" ht="12" customHeight="1" x14ac:dyDescent="0.25">
      <c r="A25" s="45" t="s">
        <v>1293</v>
      </c>
      <c r="B25" s="89" t="s">
        <v>1294</v>
      </c>
      <c r="C25" s="81"/>
      <c r="D25" s="40"/>
      <c r="E25" s="14">
        <v>0</v>
      </c>
      <c r="F25" s="14">
        <v>0</v>
      </c>
      <c r="G25" s="14">
        <v>0</v>
      </c>
      <c r="H25" s="14">
        <v>0</v>
      </c>
      <c r="I25" s="14">
        <v>0</v>
      </c>
      <c r="J25" s="14">
        <v>0</v>
      </c>
      <c r="K25" s="14">
        <v>0</v>
      </c>
      <c r="L25" s="14">
        <v>0</v>
      </c>
      <c r="M25" s="14">
        <v>0</v>
      </c>
      <c r="N25" s="14">
        <v>0</v>
      </c>
      <c r="O25" s="14">
        <v>0</v>
      </c>
      <c r="P25" s="14">
        <v>0</v>
      </c>
      <c r="Q25" s="81">
        <f t="shared" si="0"/>
        <v>0</v>
      </c>
      <c r="R25" s="40"/>
      <c r="S25" s="48"/>
      <c r="T25" s="48"/>
      <c r="U25" s="48"/>
      <c r="V25" s="48"/>
      <c r="W25" s="48"/>
      <c r="X25" s="48"/>
      <c r="Y25" s="48"/>
      <c r="Z25" s="48"/>
      <c r="AA25" s="48"/>
      <c r="AB25" s="48"/>
      <c r="AC25" s="48"/>
      <c r="AD25" s="48"/>
      <c r="AF25" s="40"/>
    </row>
    <row r="26" spans="1:32" ht="12" customHeight="1" x14ac:dyDescent="0.25">
      <c r="A26" s="45" t="s">
        <v>1051</v>
      </c>
      <c r="B26" s="89" t="s">
        <v>1052</v>
      </c>
      <c r="C26" s="81"/>
      <c r="D26" s="40"/>
      <c r="E26" s="14">
        <v>0</v>
      </c>
      <c r="F26" s="14">
        <v>0</v>
      </c>
      <c r="G26" s="14">
        <v>0</v>
      </c>
      <c r="H26" s="14">
        <v>28.32</v>
      </c>
      <c r="I26" s="14">
        <v>28.32</v>
      </c>
      <c r="J26" s="14">
        <v>0</v>
      </c>
      <c r="K26" s="14">
        <v>300</v>
      </c>
      <c r="L26" s="14">
        <v>450</v>
      </c>
      <c r="M26" s="14">
        <v>300</v>
      </c>
      <c r="N26" s="14">
        <v>300</v>
      </c>
      <c r="O26" s="14">
        <v>157.5</v>
      </c>
      <c r="P26" s="14">
        <v>157.5</v>
      </c>
      <c r="Q26" s="81">
        <f>SUM(E26:P26)</f>
        <v>1721.6399999999999</v>
      </c>
      <c r="R26" s="40"/>
      <c r="S26" s="48"/>
      <c r="T26" s="48"/>
      <c r="U26" s="48"/>
      <c r="V26" s="48"/>
      <c r="W26" s="48"/>
      <c r="X26" s="48"/>
      <c r="Y26" s="48"/>
      <c r="Z26" s="48"/>
      <c r="AA26" s="48"/>
      <c r="AB26" s="48"/>
      <c r="AC26" s="48"/>
      <c r="AD26" s="48"/>
      <c r="AF26" s="40"/>
    </row>
    <row r="27" spans="1:32" ht="12" customHeight="1" x14ac:dyDescent="0.25">
      <c r="A27" s="45" t="s">
        <v>1086</v>
      </c>
      <c r="B27" s="89" t="s">
        <v>1087</v>
      </c>
      <c r="C27" s="81"/>
      <c r="D27" s="40"/>
      <c r="E27" s="14">
        <v>3555</v>
      </c>
      <c r="F27" s="14">
        <v>1785</v>
      </c>
      <c r="G27" s="14">
        <v>2485</v>
      </c>
      <c r="H27" s="14">
        <v>1200</v>
      </c>
      <c r="I27" s="14">
        <v>0</v>
      </c>
      <c r="J27" s="14">
        <v>960</v>
      </c>
      <c r="K27" s="14">
        <v>1600</v>
      </c>
      <c r="L27" s="14">
        <v>0</v>
      </c>
      <c r="M27" s="14">
        <v>0</v>
      </c>
      <c r="N27" s="14">
        <v>0</v>
      </c>
      <c r="O27" s="14">
        <v>900</v>
      </c>
      <c r="P27" s="14">
        <v>960</v>
      </c>
      <c r="Q27" s="81">
        <f t="shared" si="0"/>
        <v>13445</v>
      </c>
      <c r="R27" s="40"/>
      <c r="S27" s="48"/>
      <c r="T27" s="48"/>
      <c r="U27" s="48"/>
      <c r="V27" s="48"/>
      <c r="W27" s="48"/>
      <c r="X27" s="48"/>
      <c r="Y27" s="48"/>
      <c r="Z27" s="48"/>
      <c r="AA27" s="48"/>
      <c r="AB27" s="48"/>
      <c r="AC27" s="48"/>
      <c r="AD27" s="48"/>
      <c r="AF27" s="40"/>
    </row>
    <row r="28" spans="1:32" ht="12" customHeight="1" x14ac:dyDescent="0.25">
      <c r="A28" s="198" t="s">
        <v>1149</v>
      </c>
      <c r="B28" s="155" t="s">
        <v>1150</v>
      </c>
      <c r="C28" s="81"/>
      <c r="D28" s="40"/>
      <c r="E28" s="14">
        <v>0</v>
      </c>
      <c r="F28" s="14">
        <v>0</v>
      </c>
      <c r="G28" s="14">
        <v>0</v>
      </c>
      <c r="H28" s="14">
        <v>0</v>
      </c>
      <c r="I28" s="14">
        <v>0</v>
      </c>
      <c r="J28" s="14">
        <v>0</v>
      </c>
      <c r="K28" s="14">
        <v>0</v>
      </c>
      <c r="L28" s="14">
        <v>0</v>
      </c>
      <c r="M28" s="14">
        <v>0</v>
      </c>
      <c r="N28" s="14">
        <v>0</v>
      </c>
      <c r="O28" s="14">
        <v>0</v>
      </c>
      <c r="P28" s="14">
        <v>0</v>
      </c>
      <c r="Q28" s="81">
        <f t="shared" si="0"/>
        <v>0</v>
      </c>
      <c r="R28" s="40"/>
      <c r="S28" s="48"/>
      <c r="T28" s="48"/>
      <c r="U28" s="48"/>
      <c r="V28" s="48"/>
      <c r="W28" s="48"/>
      <c r="X28" s="48"/>
      <c r="Y28" s="48"/>
      <c r="Z28" s="48"/>
      <c r="AA28" s="48"/>
      <c r="AB28" s="48"/>
      <c r="AC28" s="48"/>
      <c r="AD28" s="48"/>
      <c r="AF28" s="40"/>
    </row>
    <row r="29" spans="1:32" ht="12" customHeight="1" x14ac:dyDescent="0.25">
      <c r="A29" s="58"/>
      <c r="B29" s="58"/>
      <c r="C29" s="81"/>
      <c r="D29" s="40"/>
      <c r="E29" s="40"/>
      <c r="F29" s="40"/>
      <c r="G29" s="40"/>
      <c r="H29" s="40"/>
      <c r="I29" s="40"/>
      <c r="J29" s="40"/>
      <c r="K29" s="40"/>
      <c r="L29" s="40"/>
      <c r="M29" s="40"/>
      <c r="N29" s="40"/>
      <c r="O29" s="40"/>
      <c r="P29" s="40"/>
      <c r="Q29" s="81"/>
      <c r="R29" s="40"/>
      <c r="S29" s="48"/>
      <c r="T29" s="48"/>
      <c r="U29" s="48"/>
      <c r="V29" s="48"/>
      <c r="W29" s="48"/>
      <c r="X29" s="48"/>
      <c r="Y29" s="48"/>
      <c r="Z29" s="48"/>
      <c r="AA29" s="48"/>
      <c r="AB29" s="48"/>
      <c r="AC29" s="48"/>
      <c r="AD29" s="48"/>
      <c r="AF29" s="40"/>
    </row>
    <row r="30" spans="1:32" ht="12" customHeight="1" x14ac:dyDescent="0.25">
      <c r="A30" s="45"/>
      <c r="B30" s="52" t="s">
        <v>1101</v>
      </c>
      <c r="C30" s="81"/>
      <c r="D30" s="40"/>
      <c r="E30" s="74">
        <f t="shared" ref="E30:Q30" si="3">SUM(E13:E28)</f>
        <v>56295.61</v>
      </c>
      <c r="F30" s="74">
        <f t="shared" si="3"/>
        <v>56429.639999999992</v>
      </c>
      <c r="G30" s="74">
        <f t="shared" si="3"/>
        <v>55384.85</v>
      </c>
      <c r="H30" s="74">
        <f t="shared" si="3"/>
        <v>53253.03</v>
      </c>
      <c r="I30" s="74">
        <f t="shared" si="3"/>
        <v>54249.66</v>
      </c>
      <c r="J30" s="74">
        <f t="shared" si="3"/>
        <v>48602.17</v>
      </c>
      <c r="K30" s="74">
        <f t="shared" si="3"/>
        <v>55717.61</v>
      </c>
      <c r="L30" s="74">
        <f t="shared" si="3"/>
        <v>49422.460000000006</v>
      </c>
      <c r="M30" s="74">
        <f t="shared" si="3"/>
        <v>45159.66</v>
      </c>
      <c r="N30" s="74">
        <f t="shared" si="3"/>
        <v>45245.68</v>
      </c>
      <c r="O30" s="74">
        <f t="shared" si="3"/>
        <v>56766.78</v>
      </c>
      <c r="P30" s="74">
        <f t="shared" si="3"/>
        <v>58510.119999999995</v>
      </c>
      <c r="Q30" s="74">
        <f t="shared" si="3"/>
        <v>635037.27</v>
      </c>
      <c r="R30" s="40"/>
      <c r="S30" s="277">
        <f>SUM(S13:S16)</f>
        <v>3478.6851732653663</v>
      </c>
      <c r="T30" s="277">
        <f t="shared" ref="T30:AE30" si="4">SUM(T13:T16)</f>
        <v>3733.2918230842888</v>
      </c>
      <c r="U30" s="277">
        <f t="shared" si="4"/>
        <v>3634.517294857118</v>
      </c>
      <c r="V30" s="277">
        <f t="shared" si="4"/>
        <v>3459.5934308198516</v>
      </c>
      <c r="W30" s="277">
        <f t="shared" si="4"/>
        <v>3576.6827627420062</v>
      </c>
      <c r="X30" s="277">
        <f t="shared" si="4"/>
        <v>3363.7838175259735</v>
      </c>
      <c r="Y30" s="277">
        <f t="shared" si="4"/>
        <v>3347.5335039707388</v>
      </c>
      <c r="Z30" s="277">
        <f t="shared" si="4"/>
        <v>3294.5358640948652</v>
      </c>
      <c r="AA30" s="277">
        <f t="shared" si="4"/>
        <v>3469.9330820571522</v>
      </c>
      <c r="AB30" s="277">
        <f t="shared" si="4"/>
        <v>2859.9227588540657</v>
      </c>
      <c r="AC30" s="277">
        <f t="shared" si="4"/>
        <v>3549.2914191704285</v>
      </c>
      <c r="AD30" s="277">
        <f t="shared" si="4"/>
        <v>3885.2068902952669</v>
      </c>
      <c r="AE30" s="277">
        <f t="shared" si="4"/>
        <v>3471.081485061427</v>
      </c>
      <c r="AF30" s="277">
        <f>SUM(AF13:AF16)</f>
        <v>41652.977820737127</v>
      </c>
    </row>
    <row r="31" spans="1:32" ht="12" customHeight="1" x14ac:dyDescent="0.25">
      <c r="A31" s="45"/>
      <c r="B31" s="45"/>
      <c r="C31" s="81"/>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F31" s="40"/>
    </row>
    <row r="32" spans="1:32" ht="12" customHeight="1" x14ac:dyDescent="0.25">
      <c r="A32" s="45" t="s">
        <v>1010</v>
      </c>
      <c r="B32" s="89" t="s">
        <v>1011</v>
      </c>
      <c r="C32" s="81"/>
      <c r="D32" s="40"/>
      <c r="E32" s="14">
        <v>257.73</v>
      </c>
      <c r="F32" s="14">
        <v>-200</v>
      </c>
      <c r="G32" s="14">
        <v>-297.06</v>
      </c>
      <c r="H32" s="14">
        <v>-138.98000000000002</v>
      </c>
      <c r="I32" s="14">
        <v>490.74</v>
      </c>
      <c r="J32" s="14">
        <v>318.65999999999997</v>
      </c>
      <c r="K32" s="14">
        <v>0</v>
      </c>
      <c r="L32" s="14">
        <v>426.26</v>
      </c>
      <c r="M32" s="14">
        <v>650.94000000000005</v>
      </c>
      <c r="N32" s="14">
        <v>0</v>
      </c>
      <c r="O32" s="14">
        <v>0</v>
      </c>
      <c r="P32" s="14">
        <v>0</v>
      </c>
      <c r="Q32" s="81">
        <f>SUM(E32:P32)</f>
        <v>1508.29</v>
      </c>
      <c r="R32" s="40"/>
      <c r="S32" s="40"/>
      <c r="T32" s="40"/>
      <c r="U32" s="40"/>
      <c r="V32" s="40"/>
      <c r="W32" s="40"/>
      <c r="X32" s="40"/>
      <c r="Y32" s="40"/>
      <c r="Z32" s="40"/>
      <c r="AA32" s="40"/>
      <c r="AB32" s="40"/>
      <c r="AC32" s="40"/>
      <c r="AD32" s="40"/>
      <c r="AF32" s="40"/>
    </row>
    <row r="33" spans="1:32" s="45" customFormat="1" ht="12" customHeight="1" x14ac:dyDescent="0.2">
      <c r="A33" s="58" t="s">
        <v>19</v>
      </c>
      <c r="B33" s="58" t="s">
        <v>20</v>
      </c>
      <c r="C33" s="81"/>
      <c r="D33" s="55"/>
      <c r="E33" s="14">
        <v>0</v>
      </c>
      <c r="F33" s="14">
        <v>0</v>
      </c>
      <c r="G33" s="14">
        <v>0</v>
      </c>
      <c r="H33" s="14">
        <v>0</v>
      </c>
      <c r="I33" s="14">
        <v>0</v>
      </c>
      <c r="J33" s="14">
        <v>0</v>
      </c>
      <c r="K33" s="14">
        <v>0</v>
      </c>
      <c r="L33" s="14">
        <v>12.2</v>
      </c>
      <c r="M33" s="14">
        <v>0</v>
      </c>
      <c r="N33" s="14">
        <v>0</v>
      </c>
      <c r="O33" s="14">
        <v>0</v>
      </c>
      <c r="P33" s="14">
        <v>0</v>
      </c>
      <c r="Q33" s="81">
        <f>SUM(E33:P33)</f>
        <v>12.2</v>
      </c>
      <c r="S33" s="48"/>
      <c r="T33" s="48"/>
      <c r="U33" s="48"/>
      <c r="V33" s="48"/>
      <c r="W33" s="48"/>
      <c r="X33" s="48"/>
      <c r="Y33" s="48"/>
      <c r="Z33" s="48"/>
      <c r="AA33" s="48"/>
      <c r="AB33" s="48"/>
      <c r="AC33" s="48"/>
      <c r="AD33" s="48"/>
      <c r="AF33" s="40"/>
    </row>
    <row r="34" spans="1:32" s="45" customFormat="1" ht="12" customHeight="1" x14ac:dyDescent="0.2">
      <c r="A34" s="58" t="s">
        <v>209</v>
      </c>
      <c r="B34" s="58" t="s">
        <v>1373</v>
      </c>
      <c r="C34" s="81"/>
      <c r="D34" s="55"/>
      <c r="E34" s="14">
        <v>0</v>
      </c>
      <c r="F34" s="14">
        <v>0</v>
      </c>
      <c r="G34" s="14">
        <v>0</v>
      </c>
      <c r="H34" s="14">
        <v>0</v>
      </c>
      <c r="I34" s="14">
        <v>0</v>
      </c>
      <c r="J34" s="14">
        <v>0</v>
      </c>
      <c r="K34" s="14">
        <v>0</v>
      </c>
      <c r="L34" s="14">
        <v>0</v>
      </c>
      <c r="M34" s="14">
        <v>0</v>
      </c>
      <c r="N34" s="14">
        <v>0</v>
      </c>
      <c r="O34" s="14">
        <v>-30</v>
      </c>
      <c r="P34" s="14">
        <v>0</v>
      </c>
      <c r="Q34" s="81">
        <f>SUM(E34:P34)</f>
        <v>-30</v>
      </c>
      <c r="S34" s="48"/>
      <c r="T34" s="48"/>
      <c r="U34" s="48"/>
      <c r="V34" s="48"/>
      <c r="W34" s="48"/>
      <c r="X34" s="48"/>
      <c r="Y34" s="48"/>
      <c r="Z34" s="48"/>
      <c r="AA34" s="48"/>
      <c r="AB34" s="48"/>
      <c r="AC34" s="48"/>
      <c r="AD34" s="48"/>
      <c r="AF34" s="40"/>
    </row>
    <row r="35" spans="1:32" s="45" customFormat="1" ht="12" customHeight="1" x14ac:dyDescent="0.2">
      <c r="A35" s="58" t="s">
        <v>1015</v>
      </c>
      <c r="B35" s="58" t="s">
        <v>1111</v>
      </c>
      <c r="C35" s="81"/>
      <c r="D35" s="55"/>
      <c r="E35" s="14">
        <v>0</v>
      </c>
      <c r="F35" s="14">
        <v>0</v>
      </c>
      <c r="G35" s="14">
        <v>25</v>
      </c>
      <c r="H35" s="14">
        <v>0</v>
      </c>
      <c r="I35" s="14">
        <v>0</v>
      </c>
      <c r="J35" s="14">
        <v>0</v>
      </c>
      <c r="K35" s="14">
        <v>0</v>
      </c>
      <c r="L35" s="14">
        <v>0</v>
      </c>
      <c r="M35" s="14">
        <v>0</v>
      </c>
      <c r="N35" s="14">
        <v>0</v>
      </c>
      <c r="O35" s="14">
        <v>0</v>
      </c>
      <c r="P35" s="14">
        <v>0</v>
      </c>
      <c r="Q35" s="81">
        <f>SUM(E35:P35)</f>
        <v>25</v>
      </c>
      <c r="S35" s="48"/>
      <c r="T35" s="48"/>
      <c r="U35" s="48"/>
      <c r="V35" s="48"/>
      <c r="W35" s="48"/>
      <c r="X35" s="48"/>
      <c r="Y35" s="48"/>
      <c r="Z35" s="48"/>
      <c r="AA35" s="48"/>
      <c r="AB35" s="48"/>
      <c r="AC35" s="48"/>
      <c r="AD35" s="48"/>
      <c r="AF35" s="40"/>
    </row>
    <row r="36" spans="1:32" s="45" customFormat="1" ht="12" customHeight="1" x14ac:dyDescent="0.2">
      <c r="A36" s="58"/>
      <c r="B36" s="58"/>
      <c r="C36" s="81"/>
      <c r="D36" s="55"/>
      <c r="E36" s="40"/>
      <c r="F36" s="49"/>
      <c r="G36" s="49"/>
      <c r="Q36" s="73"/>
      <c r="S36" s="48"/>
      <c r="T36" s="48"/>
      <c r="U36" s="48"/>
      <c r="V36" s="48"/>
      <c r="W36" s="48"/>
      <c r="X36" s="48"/>
      <c r="Y36" s="48"/>
      <c r="Z36" s="48"/>
      <c r="AA36" s="48"/>
      <c r="AB36" s="48"/>
      <c r="AC36" s="48"/>
      <c r="AD36" s="48"/>
      <c r="AF36" s="40"/>
    </row>
    <row r="37" spans="1:32" ht="12" customHeight="1" x14ac:dyDescent="0.25">
      <c r="A37" s="45"/>
      <c r="B37" s="52" t="s">
        <v>24</v>
      </c>
      <c r="C37" s="40"/>
      <c r="D37" s="40"/>
      <c r="E37" s="74">
        <f t="shared" ref="E37:Q37" si="5">SUM(E32:E36)</f>
        <v>257.73</v>
      </c>
      <c r="F37" s="74">
        <f t="shared" si="5"/>
        <v>-200</v>
      </c>
      <c r="G37" s="74">
        <f t="shared" si="5"/>
        <v>-272.06</v>
      </c>
      <c r="H37" s="74">
        <f t="shared" si="5"/>
        <v>-138.98000000000002</v>
      </c>
      <c r="I37" s="74">
        <f t="shared" si="5"/>
        <v>490.74</v>
      </c>
      <c r="J37" s="74">
        <f t="shared" si="5"/>
        <v>318.65999999999997</v>
      </c>
      <c r="K37" s="74">
        <f t="shared" si="5"/>
        <v>0</v>
      </c>
      <c r="L37" s="74">
        <f t="shared" si="5"/>
        <v>438.46</v>
      </c>
      <c r="M37" s="74">
        <f t="shared" si="5"/>
        <v>650.94000000000005</v>
      </c>
      <c r="N37" s="74">
        <f t="shared" si="5"/>
        <v>0</v>
      </c>
      <c r="O37" s="74">
        <f t="shared" si="5"/>
        <v>-30</v>
      </c>
      <c r="P37" s="74">
        <f t="shared" si="5"/>
        <v>0</v>
      </c>
      <c r="Q37" s="74">
        <f t="shared" si="5"/>
        <v>1515.49</v>
      </c>
      <c r="R37" s="40"/>
      <c r="S37" s="40"/>
      <c r="T37" s="40"/>
      <c r="U37" s="40"/>
      <c r="V37" s="40"/>
      <c r="W37" s="40"/>
      <c r="X37" s="40"/>
      <c r="Y37" s="40"/>
      <c r="Z37" s="40"/>
      <c r="AA37" s="40"/>
      <c r="AB37" s="40"/>
      <c r="AC37" s="40"/>
      <c r="AD37" s="40"/>
      <c r="AF37" s="40"/>
    </row>
    <row r="38" spans="1:32" s="45" customFormat="1" ht="12" customHeight="1" x14ac:dyDescent="0.2">
      <c r="A38" s="58"/>
      <c r="B38" s="58"/>
      <c r="C38" s="55"/>
      <c r="D38" s="55"/>
      <c r="E38" s="49"/>
      <c r="F38" s="49"/>
      <c r="G38" s="49"/>
      <c r="Q38" s="73"/>
      <c r="S38" s="48"/>
      <c r="T38" s="48"/>
      <c r="U38" s="48"/>
      <c r="V38" s="48"/>
      <c r="W38" s="48"/>
      <c r="X38" s="48"/>
      <c r="Y38" s="48"/>
      <c r="Z38" s="48"/>
      <c r="AA38" s="48"/>
      <c r="AB38" s="48"/>
      <c r="AC38" s="48"/>
      <c r="AD38" s="48"/>
      <c r="AF38" s="40"/>
    </row>
    <row r="39" spans="1:32" ht="12" customHeight="1" x14ac:dyDescent="0.25">
      <c r="A39" s="45"/>
      <c r="B39" s="52"/>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F39" s="40"/>
    </row>
    <row r="40" spans="1:32" ht="12" customHeight="1" x14ac:dyDescent="0.25">
      <c r="A40" s="62"/>
      <c r="B40" s="52" t="s">
        <v>25</v>
      </c>
      <c r="C40" s="40"/>
      <c r="D40" s="40"/>
      <c r="E40" s="74">
        <f t="shared" ref="E40:Q40" si="6">SUM(E30,E37)</f>
        <v>56553.340000000004</v>
      </c>
      <c r="F40" s="74">
        <f t="shared" si="6"/>
        <v>56229.639999999992</v>
      </c>
      <c r="G40" s="74">
        <f t="shared" si="6"/>
        <v>55112.79</v>
      </c>
      <c r="H40" s="74">
        <f t="shared" si="6"/>
        <v>53114.049999999996</v>
      </c>
      <c r="I40" s="74">
        <f t="shared" si="6"/>
        <v>54740.4</v>
      </c>
      <c r="J40" s="74">
        <f t="shared" si="6"/>
        <v>48920.83</v>
      </c>
      <c r="K40" s="74">
        <f t="shared" si="6"/>
        <v>55717.61</v>
      </c>
      <c r="L40" s="74">
        <f t="shared" si="6"/>
        <v>49860.920000000006</v>
      </c>
      <c r="M40" s="74">
        <f t="shared" si="6"/>
        <v>45810.600000000006</v>
      </c>
      <c r="N40" s="74">
        <f t="shared" si="6"/>
        <v>45245.68</v>
      </c>
      <c r="O40" s="74">
        <f t="shared" si="6"/>
        <v>56736.78</v>
      </c>
      <c r="P40" s="74">
        <f t="shared" si="6"/>
        <v>58510.119999999995</v>
      </c>
      <c r="Q40" s="74">
        <f t="shared" si="6"/>
        <v>636552.76</v>
      </c>
      <c r="R40" s="40"/>
      <c r="S40" s="40"/>
      <c r="T40" s="40"/>
      <c r="U40" s="40"/>
      <c r="V40" s="40"/>
      <c r="W40" s="40"/>
      <c r="X40" s="40"/>
      <c r="Y40" s="40"/>
      <c r="Z40" s="40"/>
      <c r="AA40" s="40"/>
      <c r="AB40" s="40"/>
      <c r="AC40" s="40"/>
      <c r="AD40" s="40"/>
      <c r="AF40" s="40"/>
    </row>
    <row r="41" spans="1:32" x14ac:dyDescent="0.25">
      <c r="A41" s="62"/>
      <c r="B41" s="6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F41" s="40"/>
    </row>
    <row r="42" spans="1:32" x14ac:dyDescent="0.25">
      <c r="A42" s="40"/>
      <c r="B42" s="40"/>
      <c r="C42" s="40"/>
      <c r="D42" s="40"/>
      <c r="E42" s="144">
        <v>56553.340000000004</v>
      </c>
      <c r="F42" s="144">
        <v>56229.639999999992</v>
      </c>
      <c r="G42" s="144">
        <v>55112.79</v>
      </c>
      <c r="H42" s="144">
        <v>53114.049999999996</v>
      </c>
      <c r="I42" s="144">
        <v>54740.4</v>
      </c>
      <c r="J42" s="144">
        <v>48920.83</v>
      </c>
      <c r="K42" s="144">
        <v>55717.61</v>
      </c>
      <c r="L42" s="144">
        <v>49860.92</v>
      </c>
      <c r="M42" s="144">
        <v>45810.600000000006</v>
      </c>
      <c r="N42" s="144">
        <v>45245.68</v>
      </c>
      <c r="O42" s="144">
        <v>56736.78</v>
      </c>
      <c r="P42" s="144">
        <v>58510.119999999995</v>
      </c>
      <c r="Q42" s="99">
        <f>SUM(E42:P42)</f>
        <v>636552.75999999989</v>
      </c>
      <c r="R42" s="40"/>
      <c r="S42" s="40"/>
      <c r="T42" s="40"/>
      <c r="U42" s="40"/>
      <c r="V42" s="40"/>
      <c r="W42" s="40"/>
      <c r="X42" s="40"/>
      <c r="Y42" s="40"/>
      <c r="Z42" s="40"/>
      <c r="AA42" s="40"/>
      <c r="AB42" s="40"/>
      <c r="AC42" s="40"/>
      <c r="AD42" s="40"/>
      <c r="AF42" s="40"/>
    </row>
    <row r="43" spans="1:32" x14ac:dyDescent="0.25">
      <c r="A43" s="40"/>
      <c r="B43" s="40"/>
      <c r="C43" s="40"/>
      <c r="D43" s="40"/>
      <c r="E43" s="99">
        <f>+E40-E42</f>
        <v>0</v>
      </c>
      <c r="F43" s="99">
        <f>+F40-F42</f>
        <v>0</v>
      </c>
      <c r="G43" s="99">
        <f>+G40-G42</f>
        <v>0</v>
      </c>
      <c r="H43" s="99">
        <f t="shared" ref="H43:P43" si="7">+H40-H42</f>
        <v>0</v>
      </c>
      <c r="I43" s="99">
        <f t="shared" si="7"/>
        <v>0</v>
      </c>
      <c r="J43" s="99">
        <f t="shared" si="7"/>
        <v>0</v>
      </c>
      <c r="K43" s="99">
        <f t="shared" si="7"/>
        <v>0</v>
      </c>
      <c r="L43" s="99">
        <f t="shared" si="7"/>
        <v>0</v>
      </c>
      <c r="M43" s="99">
        <f t="shared" si="7"/>
        <v>0</v>
      </c>
      <c r="N43" s="99">
        <f t="shared" si="7"/>
        <v>0</v>
      </c>
      <c r="O43" s="99">
        <f t="shared" si="7"/>
        <v>0</v>
      </c>
      <c r="P43" s="99">
        <f t="shared" si="7"/>
        <v>0</v>
      </c>
      <c r="Q43" s="99">
        <f>Q40-Q42</f>
        <v>0</v>
      </c>
      <c r="R43" s="40"/>
      <c r="S43" s="40"/>
      <c r="T43" s="40"/>
      <c r="U43" s="40"/>
      <c r="V43" s="40"/>
      <c r="W43" s="40"/>
      <c r="X43" s="40"/>
      <c r="Y43" s="40"/>
      <c r="Z43" s="40"/>
      <c r="AA43" s="40"/>
      <c r="AB43" s="40"/>
      <c r="AC43" s="40"/>
      <c r="AD43" s="40"/>
      <c r="AF43" s="40"/>
    </row>
    <row r="44" spans="1:32" x14ac:dyDescent="0.2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F44" s="40"/>
    </row>
    <row r="45" spans="1:32" x14ac:dyDescent="0.2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F45" s="40"/>
    </row>
    <row r="46" spans="1:32" x14ac:dyDescent="0.2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F46" s="40"/>
    </row>
    <row r="47" spans="1:32" x14ac:dyDescent="0.2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F47" s="40"/>
    </row>
  </sheetData>
  <sortState xmlns:xlrd2="http://schemas.microsoft.com/office/spreadsheetml/2017/richdata2" ref="A11:AD36">
    <sortCondition ref="A11:A3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59999389629810485"/>
  </sheetPr>
  <dimension ref="A1:Q29"/>
  <sheetViews>
    <sheetView view="pageBreakPreview" zoomScale="60" zoomScaleNormal="100" workbookViewId="0">
      <selection activeCell="C38" sqref="C38"/>
    </sheetView>
  </sheetViews>
  <sheetFormatPr defaultColWidth="9.140625" defaultRowHeight="15" x14ac:dyDescent="0.25"/>
  <cols>
    <col min="1" max="1" width="9.140625" style="168"/>
    <col min="2" max="2" width="9.140625" style="157"/>
    <col min="3" max="5" width="14.140625" style="158" customWidth="1"/>
    <col min="6" max="6" width="14.140625" style="159" customWidth="1"/>
    <col min="7" max="7" width="12" style="160" bestFit="1" customWidth="1"/>
    <col min="8" max="13" width="14.140625" style="158" customWidth="1"/>
    <col min="14" max="14" width="15.85546875" style="158" customWidth="1"/>
    <col min="15" max="15" width="16.140625" style="159" bestFit="1" customWidth="1"/>
    <col min="16" max="16" width="4.28515625" style="160" customWidth="1"/>
    <col min="17" max="17" width="13.140625" style="159" bestFit="1" customWidth="1"/>
    <col min="18" max="16384" width="9.140625" style="158"/>
  </cols>
  <sheetData>
    <row r="1" spans="1:17" x14ac:dyDescent="0.25">
      <c r="A1" s="156" t="s">
        <v>1155</v>
      </c>
    </row>
    <row r="2" spans="1:17" x14ac:dyDescent="0.25">
      <c r="A2" s="2" t="s">
        <v>1371</v>
      </c>
      <c r="D2" s="161"/>
      <c r="F2" s="162"/>
      <c r="G2" s="163"/>
      <c r="H2" s="161"/>
    </row>
    <row r="4" spans="1:17" s="164" customFormat="1" x14ac:dyDescent="0.25">
      <c r="A4" s="156"/>
      <c r="C4" s="165" t="s">
        <v>1156</v>
      </c>
      <c r="D4" s="166"/>
      <c r="E4" s="165" t="s">
        <v>1004</v>
      </c>
      <c r="F4" s="167" t="s">
        <v>998</v>
      </c>
      <c r="G4" s="167" t="s">
        <v>999</v>
      </c>
      <c r="H4" s="165" t="s">
        <v>1000</v>
      </c>
      <c r="I4" s="165" t="s">
        <v>1001</v>
      </c>
      <c r="J4" s="165" t="s">
        <v>1002</v>
      </c>
      <c r="K4" s="165" t="s">
        <v>1054</v>
      </c>
      <c r="L4" s="165" t="s">
        <v>1157</v>
      </c>
      <c r="M4" s="166"/>
      <c r="N4" s="165" t="s">
        <v>1053</v>
      </c>
    </row>
    <row r="5" spans="1:17" x14ac:dyDescent="0.25">
      <c r="A5" s="156" t="s">
        <v>1158</v>
      </c>
      <c r="B5" s="158"/>
      <c r="C5" s="159"/>
      <c r="D5" s="160"/>
      <c r="F5" s="161"/>
      <c r="G5" s="161"/>
      <c r="L5" s="159"/>
      <c r="M5" s="160"/>
      <c r="N5" s="159"/>
      <c r="O5" s="158"/>
      <c r="P5" s="158"/>
      <c r="Q5" s="158"/>
    </row>
    <row r="6" spans="1:17" x14ac:dyDescent="0.25">
      <c r="B6" s="157" t="s">
        <v>1159</v>
      </c>
      <c r="C6" s="192">
        <f>'Clark Co. Regulated - Price Out'!AG72</f>
        <v>77510.618163622712</v>
      </c>
      <c r="D6" s="218">
        <f>+C6/N6</f>
        <v>0.56984902105089386</v>
      </c>
      <c r="E6" s="193">
        <v>0</v>
      </c>
      <c r="F6" s="193">
        <v>0</v>
      </c>
      <c r="G6" s="193">
        <f>'Ridgefield Non-Reg - Price Out '!AI51</f>
        <v>4893.8785618174288</v>
      </c>
      <c r="H6" s="193">
        <f>'Vancouver Non-Reg - Price Out'!AI70</f>
        <v>48041.408881655698</v>
      </c>
      <c r="I6" s="193">
        <f>'Washougal Non-Reg - Price Out'!AI45</f>
        <v>5573.6632616557081</v>
      </c>
      <c r="J6" s="193">
        <v>0</v>
      </c>
      <c r="K6" s="193">
        <v>0</v>
      </c>
      <c r="L6" s="159">
        <f>SUM(E6:K6)</f>
        <v>58508.950705128838</v>
      </c>
      <c r="M6" s="160"/>
      <c r="N6" s="159">
        <f>+C6+L6</f>
        <v>136019.56886875155</v>
      </c>
      <c r="O6" s="158"/>
      <c r="P6" s="158"/>
      <c r="Q6" s="158"/>
    </row>
    <row r="7" spans="1:17" x14ac:dyDescent="0.25">
      <c r="B7" s="157" t="s">
        <v>1160</v>
      </c>
      <c r="C7" s="192">
        <v>0</v>
      </c>
      <c r="D7" s="160"/>
      <c r="E7" s="193">
        <f>'UTC Non-Reg Svc - Price Out '!AH38</f>
        <v>74456.596299529323</v>
      </c>
      <c r="F7" s="193">
        <f>'Camas Non-Reg - Price Out'!AI32</f>
        <v>8884.7271704903287</v>
      </c>
      <c r="G7" s="193">
        <f>'Ridgefield Non-Reg - Price Out '!AI64</f>
        <v>5209.8603036175709</v>
      </c>
      <c r="H7" s="193">
        <f>'Vancouver Non-Reg - Price Out'!AI96</f>
        <v>48138.508158536584</v>
      </c>
      <c r="I7" s="193">
        <f>'Washougal Non-Reg - Price Out'!AI61</f>
        <v>5488.417203791123</v>
      </c>
      <c r="J7" s="193">
        <v>0</v>
      </c>
      <c r="K7" s="193">
        <v>0</v>
      </c>
      <c r="L7" s="159">
        <f>SUM(E7:K7)</f>
        <v>142178.10913596491</v>
      </c>
      <c r="M7" s="160"/>
      <c r="N7" s="159">
        <f>+C7+L7</f>
        <v>142178.10913596491</v>
      </c>
      <c r="O7" s="158"/>
      <c r="P7" s="158"/>
      <c r="Q7" s="158"/>
    </row>
    <row r="8" spans="1:17" x14ac:dyDescent="0.25">
      <c r="B8" s="157" t="s">
        <v>1161</v>
      </c>
      <c r="C8" s="192">
        <v>0</v>
      </c>
      <c r="D8" s="160"/>
      <c r="E8" s="193">
        <f>'UTC Non-Reg Svc - Price Out '!AH65</f>
        <v>31636.710217874308</v>
      </c>
      <c r="F8" s="193">
        <f>'Camas Non-Reg - Price Out'!AI46</f>
        <v>2945.7042309941316</v>
      </c>
      <c r="G8" s="193">
        <f>'Ridgefield Non-Reg - Price Out '!AI78</f>
        <v>2630.3166906379406</v>
      </c>
      <c r="H8" s="193">
        <f>'Vancouver Non-Reg - Price Out'!AI121</f>
        <v>29862.137364736631</v>
      </c>
      <c r="I8" s="193">
        <f>'Washougal Non-Reg - Price Out'!AI80</f>
        <v>2413.32708612941</v>
      </c>
      <c r="J8" s="193">
        <v>0</v>
      </c>
      <c r="K8" s="193">
        <v>0</v>
      </c>
      <c r="L8" s="159">
        <f>SUM(E8:K8)</f>
        <v>69488.19559037243</v>
      </c>
      <c r="M8" s="160"/>
      <c r="N8" s="159">
        <f>+C8+L8</f>
        <v>69488.19559037243</v>
      </c>
      <c r="O8" s="158"/>
      <c r="P8" s="158"/>
      <c r="Q8" s="158"/>
    </row>
    <row r="9" spans="1:17" x14ac:dyDescent="0.25">
      <c r="B9" s="169" t="s">
        <v>1162</v>
      </c>
      <c r="C9" s="171">
        <f>SUM(C6:C8)</f>
        <v>77510.618163622712</v>
      </c>
      <c r="D9" s="218"/>
      <c r="E9" s="170">
        <f>SUM(E6:E8)</f>
        <v>106093.30651740363</v>
      </c>
      <c r="F9" s="172">
        <f t="shared" ref="F9:N9" si="0">SUM(F6:F8)</f>
        <v>11830.43140148446</v>
      </c>
      <c r="G9" s="172">
        <f t="shared" si="0"/>
        <v>12734.055556072941</v>
      </c>
      <c r="H9" s="170">
        <f t="shared" si="0"/>
        <v>126042.05440492892</v>
      </c>
      <c r="I9" s="170">
        <f t="shared" si="0"/>
        <v>13475.40755157624</v>
      </c>
      <c r="J9" s="170">
        <f t="shared" si="0"/>
        <v>0</v>
      </c>
      <c r="K9" s="170">
        <f t="shared" si="0"/>
        <v>0</v>
      </c>
      <c r="L9" s="171">
        <f t="shared" si="0"/>
        <v>270175.25543146615</v>
      </c>
      <c r="M9" s="160"/>
      <c r="N9" s="171">
        <f t="shared" si="0"/>
        <v>347685.87359508889</v>
      </c>
      <c r="O9" s="158"/>
      <c r="P9" s="158"/>
      <c r="Q9" s="158"/>
    </row>
    <row r="10" spans="1:17" x14ac:dyDescent="0.25">
      <c r="C10" s="174"/>
      <c r="D10" s="160"/>
      <c r="E10" s="173"/>
      <c r="F10" s="175"/>
      <c r="G10" s="175"/>
      <c r="H10" s="173"/>
      <c r="I10" s="173"/>
      <c r="J10" s="173"/>
      <c r="K10" s="173"/>
      <c r="L10" s="174"/>
      <c r="M10" s="160"/>
      <c r="N10" s="174"/>
      <c r="O10" s="158"/>
      <c r="P10" s="158"/>
      <c r="Q10" s="158"/>
    </row>
    <row r="11" spans="1:17" x14ac:dyDescent="0.25">
      <c r="A11" s="156" t="s">
        <v>1163</v>
      </c>
      <c r="B11" s="158"/>
      <c r="C11" s="159"/>
      <c r="D11" s="160"/>
      <c r="F11" s="161"/>
      <c r="G11" s="161"/>
      <c r="L11" s="159"/>
      <c r="M11" s="160"/>
      <c r="N11" s="159"/>
      <c r="O11" s="158"/>
      <c r="P11" s="158"/>
      <c r="Q11" s="158"/>
    </row>
    <row r="12" spans="1:17" x14ac:dyDescent="0.25">
      <c r="B12" s="157" t="s">
        <v>1159</v>
      </c>
      <c r="C12" s="192">
        <f>'Clark Co. Regulated - Price Out'!AG195</f>
        <v>3937.7549906106556</v>
      </c>
      <c r="D12" s="218">
        <f>+C12/N12</f>
        <v>0.50513660325901577</v>
      </c>
      <c r="E12" s="193">
        <v>0</v>
      </c>
      <c r="F12" s="193">
        <f>'Camas Non-Reg - Price Out'!AI61</f>
        <v>0.99844742413549759</v>
      </c>
      <c r="G12" s="193">
        <f>'Ridgefield Non-Reg - Price Out '!AI123</f>
        <v>133.05203446825266</v>
      </c>
      <c r="H12" s="193">
        <f>'Vancouver Non-Reg - Price Out'!AI257</f>
        <v>3444.2301310788407</v>
      </c>
      <c r="I12" s="193">
        <f>'Washougal Non-Reg - Price Out'!AI140</f>
        <v>279.39035685186718</v>
      </c>
      <c r="J12" s="193">
        <v>0</v>
      </c>
      <c r="K12" s="193">
        <v>0</v>
      </c>
      <c r="L12" s="159">
        <f>SUM(E12:K12)</f>
        <v>3857.6709698230961</v>
      </c>
      <c r="M12" s="160"/>
      <c r="N12" s="159">
        <f>+C12+L12</f>
        <v>7795.4259604337512</v>
      </c>
      <c r="O12" s="158"/>
      <c r="P12" s="158"/>
      <c r="Q12" s="158"/>
    </row>
    <row r="13" spans="1:17" x14ac:dyDescent="0.25">
      <c r="B13" s="157" t="s">
        <v>1160</v>
      </c>
      <c r="C13" s="192">
        <v>0</v>
      </c>
      <c r="D13" s="160"/>
      <c r="E13" s="193">
        <f>'UTC Non-Reg Svc - Price Out '!AH182</f>
        <v>1028.2459633905023</v>
      </c>
      <c r="F13" s="193">
        <f>'Camas Non-Reg - Price Out'!AI116</f>
        <v>163.71922209292279</v>
      </c>
      <c r="G13" s="193">
        <f>'Ridgefield Non-Reg - Price Out '!AI180</f>
        <v>97.213303531976123</v>
      </c>
      <c r="H13" s="193">
        <f>'Vancouver Non-Reg - Price Out'!AI361</f>
        <v>4060.8701566286827</v>
      </c>
      <c r="I13" s="193">
        <f>'Washougal Non-Reg - Price Out'!AI190</f>
        <v>129.22498484060398</v>
      </c>
      <c r="J13" s="193">
        <f>'West Van Non-Reg - Price Out'!AH39</f>
        <v>5.4315834172435835</v>
      </c>
      <c r="K13" s="193">
        <v>949</v>
      </c>
      <c r="L13" s="159">
        <f>SUM(E13:K13)</f>
        <v>6433.7052139019315</v>
      </c>
      <c r="M13" s="160"/>
      <c r="N13" s="159">
        <f>+C13+L13</f>
        <v>6433.7052139019315</v>
      </c>
      <c r="O13" s="158"/>
      <c r="P13" s="158"/>
      <c r="Q13" s="158"/>
    </row>
    <row r="14" spans="1:17" x14ac:dyDescent="0.25">
      <c r="B14" s="157" t="s">
        <v>1164</v>
      </c>
      <c r="C14" s="192">
        <v>0</v>
      </c>
      <c r="D14" s="160"/>
      <c r="E14" s="193">
        <v>0</v>
      </c>
      <c r="F14" s="193">
        <v>0</v>
      </c>
      <c r="G14" s="193">
        <v>0</v>
      </c>
      <c r="H14" s="193">
        <v>0</v>
      </c>
      <c r="I14" s="193">
        <v>0</v>
      </c>
      <c r="J14" s="193">
        <v>0</v>
      </c>
      <c r="K14" s="193">
        <v>0</v>
      </c>
      <c r="L14" s="159">
        <f>SUM(E14:K14)</f>
        <v>0</v>
      </c>
      <c r="M14" s="160"/>
      <c r="N14" s="159">
        <f>+C14+L14</f>
        <v>0</v>
      </c>
      <c r="O14" s="158"/>
      <c r="P14" s="158"/>
      <c r="Q14" s="158"/>
    </row>
    <row r="15" spans="1:17" x14ac:dyDescent="0.25">
      <c r="B15" s="157" t="s">
        <v>1165</v>
      </c>
      <c r="C15" s="192">
        <v>0</v>
      </c>
      <c r="D15" s="160"/>
      <c r="E15" s="193">
        <f>'UTC Non-Reg Svc - Price Out '!AH45</f>
        <v>12910.649449035811</v>
      </c>
      <c r="F15" s="193">
        <v>0</v>
      </c>
      <c r="G15" s="193">
        <v>0</v>
      </c>
      <c r="H15" s="193">
        <f>'Vancouver Non-Reg - Price Out'!AI103</f>
        <v>33460.929384146257</v>
      </c>
      <c r="I15" s="193">
        <f>'Washougal Non-Reg - Price Out'!AI68</f>
        <v>788.45833333333337</v>
      </c>
      <c r="J15" s="193">
        <v>0</v>
      </c>
      <c r="K15" s="193">
        <v>0</v>
      </c>
      <c r="L15" s="159">
        <f>SUM(E15:K15)</f>
        <v>47160.037166515402</v>
      </c>
      <c r="M15" s="160"/>
      <c r="N15" s="159">
        <f>+C15+L15</f>
        <v>47160.037166515402</v>
      </c>
      <c r="O15" s="158"/>
      <c r="P15" s="158"/>
      <c r="Q15" s="158"/>
    </row>
    <row r="16" spans="1:17" x14ac:dyDescent="0.25">
      <c r="B16" s="169" t="s">
        <v>1166</v>
      </c>
      <c r="C16" s="171">
        <f>SUM(C12:C15)</f>
        <v>3937.7549906106556</v>
      </c>
      <c r="D16" s="218"/>
      <c r="E16" s="170">
        <f>SUM(E12:E15)</f>
        <v>13938.895412426313</v>
      </c>
      <c r="F16" s="172">
        <f t="shared" ref="F16:N16" si="1">SUM(F12:F15)</f>
        <v>164.71766951705828</v>
      </c>
      <c r="G16" s="172">
        <f t="shared" si="1"/>
        <v>230.26533800022878</v>
      </c>
      <c r="H16" s="170">
        <f t="shared" si="1"/>
        <v>40966.029671853779</v>
      </c>
      <c r="I16" s="170">
        <f t="shared" si="1"/>
        <v>1197.0736750258045</v>
      </c>
      <c r="J16" s="170">
        <f t="shared" si="1"/>
        <v>5.4315834172435835</v>
      </c>
      <c r="K16" s="170">
        <f t="shared" si="1"/>
        <v>949</v>
      </c>
      <c r="L16" s="171">
        <f t="shared" si="1"/>
        <v>57451.413350240429</v>
      </c>
      <c r="M16" s="160"/>
      <c r="N16" s="171">
        <f t="shared" si="1"/>
        <v>61389.168340851087</v>
      </c>
      <c r="O16" s="158"/>
      <c r="P16" s="158"/>
      <c r="Q16" s="158"/>
    </row>
    <row r="17" spans="1:17" x14ac:dyDescent="0.25">
      <c r="C17" s="174"/>
      <c r="D17" s="160"/>
      <c r="E17" s="173"/>
      <c r="F17" s="175"/>
      <c r="G17" s="175"/>
      <c r="H17" s="173"/>
      <c r="I17" s="173"/>
      <c r="J17" s="173"/>
      <c r="K17" s="173"/>
      <c r="L17" s="174"/>
      <c r="M17" s="160"/>
      <c r="N17" s="174"/>
      <c r="O17" s="158"/>
      <c r="P17" s="158"/>
      <c r="Q17" s="158"/>
    </row>
    <row r="18" spans="1:17" x14ac:dyDescent="0.25">
      <c r="A18" s="156" t="s">
        <v>34</v>
      </c>
      <c r="B18" s="158"/>
      <c r="C18" s="159"/>
      <c r="D18" s="160"/>
      <c r="F18" s="161"/>
      <c r="G18" s="161"/>
      <c r="L18" s="159"/>
      <c r="M18" s="160"/>
      <c r="N18" s="159"/>
      <c r="O18" s="158"/>
      <c r="P18" s="158"/>
      <c r="Q18" s="158"/>
    </row>
    <row r="19" spans="1:17" x14ac:dyDescent="0.25">
      <c r="B19" s="157" t="s">
        <v>1167</v>
      </c>
      <c r="C19" s="192">
        <f>'Clark Co. Regulated - Price Out'!AG266</f>
        <v>409.21752104452753</v>
      </c>
      <c r="D19" s="218">
        <f>+C19/N19</f>
        <v>0.48552564076877569</v>
      </c>
      <c r="E19" s="193">
        <v>0</v>
      </c>
      <c r="F19" s="193">
        <f>'Camas Non-Reg - Price Out'!AI139</f>
        <v>33.401411820887688</v>
      </c>
      <c r="G19" s="193">
        <f>'Ridgefield Non-Reg - Price Out '!AI220</f>
        <v>37.840940857608864</v>
      </c>
      <c r="H19" s="193">
        <f>'Vancouver Non-Reg - Price Out'!AI418</f>
        <v>328.99299921190061</v>
      </c>
      <c r="I19" s="193">
        <f>'Washougal Non-Reg - Price Out'!AI210</f>
        <v>33.381133517499137</v>
      </c>
      <c r="J19" s="193">
        <v>0</v>
      </c>
      <c r="K19" s="193">
        <v>0</v>
      </c>
      <c r="L19" s="159">
        <f>SUM(E19:K19)</f>
        <v>433.61648540789633</v>
      </c>
      <c r="M19" s="160"/>
      <c r="N19" s="159">
        <f>+C19+L19</f>
        <v>842.83400645242386</v>
      </c>
      <c r="O19" s="158"/>
      <c r="P19" s="158"/>
      <c r="Q19" s="158"/>
    </row>
    <row r="20" spans="1:17" x14ac:dyDescent="0.25">
      <c r="B20" s="157" t="s">
        <v>1110</v>
      </c>
      <c r="C20" s="192">
        <v>0</v>
      </c>
      <c r="D20" s="160"/>
      <c r="E20" s="193">
        <f>+'UTC Non-Reg Svc - Price Out '!AH211</f>
        <v>80.407594653266244</v>
      </c>
      <c r="F20" s="193">
        <f>+'Camas Non-Reg - Price Out'!AI149</f>
        <v>9.9503161044351138</v>
      </c>
      <c r="G20" s="193">
        <f>+'Ridgefield Non-Reg - Price Out '!AI228</f>
        <v>14.446412307448622</v>
      </c>
      <c r="H20" s="193">
        <f>+'Vancouver Non-Reg - Price Out'!AI434</f>
        <v>172.3488778887982</v>
      </c>
      <c r="I20" s="193">
        <f>+'Washougal Non-Reg - Price Out'!AI222</f>
        <v>16.920668277091277</v>
      </c>
      <c r="J20" s="193">
        <v>0</v>
      </c>
      <c r="K20" s="193">
        <v>0</v>
      </c>
      <c r="L20" s="159">
        <f>SUM(E20:K20)</f>
        <v>294.07386923103945</v>
      </c>
      <c r="M20" s="160"/>
      <c r="N20" s="159">
        <f>+C20+L20</f>
        <v>294.07386923103945</v>
      </c>
      <c r="O20" s="158"/>
      <c r="P20" s="158"/>
      <c r="Q20" s="158"/>
    </row>
    <row r="21" spans="1:17" x14ac:dyDescent="0.25">
      <c r="B21" s="169" t="s">
        <v>1168</v>
      </c>
      <c r="C21" s="171">
        <f>SUM(C19:C20)</f>
        <v>409.21752104452753</v>
      </c>
      <c r="D21" s="218"/>
      <c r="E21" s="170">
        <f>SUM(E19:E20)</f>
        <v>80.407594653266244</v>
      </c>
      <c r="F21" s="172">
        <f t="shared" ref="F21:N21" si="2">SUM(F19:F20)</f>
        <v>43.351727925322805</v>
      </c>
      <c r="G21" s="172">
        <f t="shared" si="2"/>
        <v>52.287353165057482</v>
      </c>
      <c r="H21" s="170">
        <f t="shared" si="2"/>
        <v>501.34187710069881</v>
      </c>
      <c r="I21" s="170">
        <f t="shared" si="2"/>
        <v>50.301801794590418</v>
      </c>
      <c r="J21" s="170">
        <f t="shared" si="2"/>
        <v>0</v>
      </c>
      <c r="K21" s="170">
        <f t="shared" si="2"/>
        <v>0</v>
      </c>
      <c r="L21" s="171">
        <f t="shared" si="2"/>
        <v>727.69035463893579</v>
      </c>
      <c r="M21" s="160"/>
      <c r="N21" s="171">
        <f t="shared" si="2"/>
        <v>1136.9078756834633</v>
      </c>
      <c r="O21" s="158"/>
      <c r="P21" s="158"/>
      <c r="Q21" s="158"/>
    </row>
    <row r="22" spans="1:17" x14ac:dyDescent="0.25">
      <c r="C22" s="159"/>
      <c r="D22" s="160"/>
      <c r="F22" s="161"/>
      <c r="G22" s="161"/>
      <c r="L22" s="159"/>
      <c r="M22" s="160"/>
      <c r="N22" s="159"/>
      <c r="O22" s="158"/>
      <c r="P22" s="158"/>
      <c r="Q22" s="158"/>
    </row>
    <row r="23" spans="1:17" s="159" customFormat="1" ht="15.75" thickBot="1" x14ac:dyDescent="0.3">
      <c r="A23" s="156"/>
      <c r="B23" s="169" t="s">
        <v>1053</v>
      </c>
      <c r="C23" s="176">
        <f>+C9+C16+C21</f>
        <v>81857.590675277897</v>
      </c>
      <c r="D23" s="177"/>
      <c r="E23" s="176">
        <f t="shared" ref="E23:L23" si="3">+E9+E16+E21</f>
        <v>120112.60952448321</v>
      </c>
      <c r="F23" s="176">
        <f t="shared" si="3"/>
        <v>12038.500798926842</v>
      </c>
      <c r="G23" s="176">
        <f t="shared" si="3"/>
        <v>13016.608247238226</v>
      </c>
      <c r="H23" s="176">
        <f t="shared" si="3"/>
        <v>167509.42595388339</v>
      </c>
      <c r="I23" s="176">
        <f t="shared" si="3"/>
        <v>14722.783028396634</v>
      </c>
      <c r="J23" s="176">
        <f t="shared" si="3"/>
        <v>5.4315834172435835</v>
      </c>
      <c r="K23" s="176">
        <f t="shared" si="3"/>
        <v>949</v>
      </c>
      <c r="L23" s="176">
        <f t="shared" si="3"/>
        <v>328354.35913634551</v>
      </c>
      <c r="M23" s="177"/>
      <c r="N23" s="176">
        <f>+C23+L23</f>
        <v>410211.94981162343</v>
      </c>
      <c r="Q23" s="294"/>
    </row>
    <row r="24" spans="1:17" ht="15.75" thickTop="1" x14ac:dyDescent="0.25">
      <c r="C24" s="159"/>
      <c r="D24" s="160"/>
      <c r="F24" s="158"/>
      <c r="G24" s="158"/>
      <c r="L24" s="159"/>
      <c r="M24" s="160"/>
      <c r="N24" s="159"/>
      <c r="O24" s="158"/>
      <c r="P24" s="158"/>
      <c r="Q24" s="158"/>
    </row>
    <row r="25" spans="1:17" x14ac:dyDescent="0.25">
      <c r="C25" s="159">
        <f>+C23-'Clark Co. Regulated - Price Out'!AG292</f>
        <v>0</v>
      </c>
      <c r="D25" s="160"/>
      <c r="E25" s="158">
        <f>+'UTC Non-Reg Svc - Price Out '!AH235-E23</f>
        <v>0</v>
      </c>
      <c r="F25" s="158">
        <f>+'Camas Non-Reg - Price Out'!AI172-F23</f>
        <v>0</v>
      </c>
      <c r="G25" s="158">
        <f>+'Ridgefield Non-Reg - Price Out '!AI251-G23</f>
        <v>0</v>
      </c>
      <c r="H25" s="158">
        <f>+'Vancouver Non-Reg - Price Out'!AI456-H23</f>
        <v>0</v>
      </c>
      <c r="I25" s="158">
        <f>+'Washougal Non-Reg - Price Out'!AI242-I23</f>
        <v>0</v>
      </c>
      <c r="J25" s="158">
        <f>+J23-'West Van Non-Reg - Price Out'!AH39</f>
        <v>0</v>
      </c>
      <c r="L25" s="159"/>
      <c r="M25" s="160"/>
      <c r="N25" s="159"/>
      <c r="O25" s="158"/>
      <c r="P25" s="158"/>
      <c r="Q25" s="158"/>
    </row>
    <row r="26" spans="1:17" x14ac:dyDescent="0.25">
      <c r="C26" s="159"/>
      <c r="D26" s="159"/>
      <c r="E26" s="159"/>
      <c r="G26" s="159"/>
      <c r="H26" s="159"/>
      <c r="I26" s="159"/>
      <c r="J26" s="159"/>
      <c r="K26" s="159"/>
      <c r="L26" s="159"/>
      <c r="M26" s="159"/>
      <c r="N26" s="159"/>
      <c r="O26" s="158"/>
      <c r="P26" s="158"/>
      <c r="Q26" s="158"/>
    </row>
    <row r="27" spans="1:17" x14ac:dyDescent="0.25">
      <c r="C27" s="204"/>
      <c r="D27" s="204"/>
      <c r="E27" s="204"/>
      <c r="F27" s="204"/>
      <c r="G27" s="204"/>
      <c r="H27" s="204"/>
      <c r="I27" s="204"/>
      <c r="J27" s="204"/>
      <c r="K27" s="204"/>
      <c r="L27" s="204"/>
      <c r="M27" s="204"/>
      <c r="N27" s="204"/>
      <c r="O27" s="160"/>
      <c r="P27" s="159"/>
      <c r="Q27" s="158"/>
    </row>
    <row r="29" spans="1:17" s="168" customFormat="1" ht="11.25" customHeight="1" x14ac:dyDescent="0.25">
      <c r="B29" s="157"/>
      <c r="C29" s="158"/>
      <c r="D29" s="158"/>
      <c r="E29" s="158"/>
      <c r="F29" s="159"/>
      <c r="G29" s="160"/>
      <c r="H29" s="158"/>
      <c r="I29" s="158"/>
      <c r="J29" s="158"/>
      <c r="K29" s="158"/>
      <c r="L29" s="158"/>
      <c r="M29" s="158"/>
      <c r="N29" s="158"/>
      <c r="O29" s="159"/>
      <c r="P29" s="160"/>
      <c r="Q29" s="159"/>
    </row>
  </sheetData>
  <pageMargins left="0.7" right="0.7" top="0.75" bottom="0.75" header="0.3" footer="0.3"/>
  <pageSetup scale="89" orientation="portrait" r:id="rId1"/>
  <colBreaks count="1" manualBreakCount="1">
    <brk id="7"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B3:F27"/>
  <sheetViews>
    <sheetView view="pageBreakPreview" zoomScale="60" zoomScaleNormal="100" workbookViewId="0">
      <selection activeCell="M20" sqref="M20"/>
    </sheetView>
  </sheetViews>
  <sheetFormatPr defaultRowHeight="15" x14ac:dyDescent="0.25"/>
  <cols>
    <col min="2" max="2" width="32.85546875" style="150" bestFit="1" customWidth="1"/>
    <col min="3" max="3" width="14.85546875" customWidth="1"/>
  </cols>
  <sheetData>
    <row r="3" spans="2:6" x14ac:dyDescent="0.25">
      <c r="B3" s="304" t="s">
        <v>1335</v>
      </c>
      <c r="C3" s="304"/>
      <c r="D3" s="1"/>
    </row>
    <row r="4" spans="2:6" x14ac:dyDescent="0.25">
      <c r="B4" s="150" t="s">
        <v>1012</v>
      </c>
      <c r="C4" s="219">
        <f>+'Ridgefield Non-Reg - Price Out '!AM51+'Vancouver Non-Reg - Price Out'!AO70+'Washougal Non-Reg - Price Out'!AN45</f>
        <v>58508.950705128838</v>
      </c>
      <c r="D4" s="220"/>
    </row>
    <row r="5" spans="2:6" x14ac:dyDescent="0.25">
      <c r="B5" s="150" t="s">
        <v>1336</v>
      </c>
      <c r="C5" s="219">
        <f>+'UTC Non-Reg Svc - Price Out '!AM38+'Camas Non-Reg - Price Out'!AN34+'Ridgefield Non-Reg - Price Out '!AM64+'Vancouver Non-Reg - Price Out'!AO96+'Washougal Non-Reg - Price Out'!AN61</f>
        <v>132065.13222931404</v>
      </c>
      <c r="D5" s="220"/>
    </row>
    <row r="6" spans="2:6" x14ac:dyDescent="0.25">
      <c r="B6" s="150" t="s">
        <v>1337</v>
      </c>
      <c r="C6" s="219">
        <f>+'UTC Non-Reg Svc - Price Out '!AS38+'Vancouver Non-Reg - Price Out'!AU361+'Washougal Non-Reg - Price Out'!AT61</f>
        <v>3156.948150252525</v>
      </c>
      <c r="D6" s="220"/>
    </row>
    <row r="7" spans="2:6" x14ac:dyDescent="0.25">
      <c r="B7" s="150" t="s">
        <v>1338</v>
      </c>
      <c r="C7" s="219">
        <f>+'Camas Non-Reg - Price Out'!AR139+'Ridgefield Non-Reg - Price Out '!AQ220+'Vancouver Non-Reg - Price Out'!AS418+'Washougal Non-Reg - Price Out'!AR210</f>
        <v>433.61648540789633</v>
      </c>
      <c r="D7" s="220"/>
    </row>
    <row r="8" spans="2:6" x14ac:dyDescent="0.25">
      <c r="B8" s="150" t="s">
        <v>1339</v>
      </c>
      <c r="C8" s="219">
        <f>+'UTC Non-Reg Svc - Price Out '!AQ211+'Camas Non-Reg - Price Out'!AR149+'Ridgefield Non-Reg - Price Out '!AQ228+'Vancouver Non-Reg - Price Out'!AS434+'Washougal Non-Reg - Price Out'!AR222</f>
        <v>326.91100179476547</v>
      </c>
      <c r="D8" s="220"/>
    </row>
    <row r="9" spans="2:6" x14ac:dyDescent="0.25">
      <c r="B9" s="150" t="s">
        <v>1340</v>
      </c>
      <c r="C9" s="219">
        <f>+'Ridgefield Non-Reg - Price Out '!AM123+'Vancouver Non-Reg - Price Out'!AO257+'Washougal Non-Reg - Price Out'!AN140</f>
        <v>1014.0884599441007</v>
      </c>
      <c r="D9" s="220"/>
      <c r="F9" s="231"/>
    </row>
    <row r="10" spans="2:6" x14ac:dyDescent="0.25">
      <c r="B10" s="150" t="s">
        <v>1341</v>
      </c>
      <c r="C10" s="219">
        <f>+'Camas Non-Reg - Price Out'!AP61+'Ridgefield Non-Reg - Price Out '!AO123+'Vancouver Non-Reg - Price Out'!AQ257+'Washougal Non-Reg - Price Out'!AP140</f>
        <v>2873.3532618302729</v>
      </c>
      <c r="D10" s="220"/>
    </row>
    <row r="11" spans="2:6" x14ac:dyDescent="0.25">
      <c r="B11" s="150" t="s">
        <v>1342</v>
      </c>
      <c r="C11" s="219">
        <f>+'UTC Non-Reg Svc - Price Out '!AM182+'Camas Non-Reg - Price Out'!AN116+'Ridgefield Non-Reg - Price Out '!AM180+'Vancouver Non-Reg - Price Out'!AO361+'West Van Non-Reg - Price Out'!AM39+'Washougal Non-Reg - Price Out'!AN190</f>
        <v>1051.8246903469339</v>
      </c>
      <c r="D11" s="220"/>
    </row>
    <row r="12" spans="2:6" x14ac:dyDescent="0.25">
      <c r="B12" s="150" t="s">
        <v>1343</v>
      </c>
      <c r="C12" s="219">
        <f>+'UTC Non-Reg Svc - Price Out '!AO182+'Camas Non-Reg - Price Out'!AP116+'Ridgefield Non-Reg - Price Out '!AO180+'Vancouver Non-Reg - Price Out'!AQ361+'West Van Non-Reg - Price Out'!AO39+'Washougal Non-Reg - Price Out'!AP190</f>
        <v>1543.2999296042922</v>
      </c>
      <c r="D12" s="220"/>
    </row>
    <row r="13" spans="2:6" x14ac:dyDescent="0.25">
      <c r="B13" s="150" t="s">
        <v>1344</v>
      </c>
      <c r="C13" s="219">
        <f>+'UTC Non-Reg Svc - Price Out '!AM45+'Vancouver Non-Reg - Price Out'!AO103+'Washougal Non-Reg - Price Out'!AN68</f>
        <v>13699.107782369145</v>
      </c>
      <c r="D13" s="220"/>
      <c r="F13" s="231"/>
    </row>
    <row r="14" spans="2:6" x14ac:dyDescent="0.25">
      <c r="B14" s="150" t="s">
        <v>1345</v>
      </c>
      <c r="C14" s="219">
        <v>0</v>
      </c>
      <c r="D14" s="220"/>
    </row>
    <row r="15" spans="2:6" x14ac:dyDescent="0.25">
      <c r="B15" s="150" t="s">
        <v>1161</v>
      </c>
      <c r="C15" s="219">
        <f>+'UTC Non-Reg Svc - Price Out '!AM65+'Camas Non-Reg - Price Out'!AN46+'Ridgefield Non-Reg - Price Out '!AM78+'Vancouver Non-Reg - Price Out'!AO121+'West Van Non-Reg - Price Out'!AM15+'Washougal Non-Reg - Price Out'!AN80</f>
        <v>69488.19559037243</v>
      </c>
      <c r="D15" s="220"/>
    </row>
    <row r="16" spans="2:6" ht="15.75" thickBot="1" x14ac:dyDescent="0.3">
      <c r="B16" s="221" t="s">
        <v>26</v>
      </c>
      <c r="C16" s="222">
        <f>SUM(C4:C15)</f>
        <v>284161.42828636523</v>
      </c>
      <c r="D16" s="223"/>
    </row>
    <row r="17" spans="2:4" ht="15.75" thickTop="1" x14ac:dyDescent="0.25">
      <c r="B17" s="224"/>
      <c r="C17" s="225"/>
      <c r="D17" s="225"/>
    </row>
    <row r="18" spans="2:4" x14ac:dyDescent="0.25">
      <c r="B18" s="304" t="s">
        <v>1346</v>
      </c>
      <c r="C18" s="304"/>
    </row>
    <row r="19" spans="2:4" x14ac:dyDescent="0.25">
      <c r="B19" s="150" t="s">
        <v>1347</v>
      </c>
      <c r="C19" s="219">
        <f>+'UTC Non-Reg Svc - Price Out '!AW235</f>
        <v>119515.09935080838</v>
      </c>
    </row>
    <row r="20" spans="2:4" x14ac:dyDescent="0.25">
      <c r="B20" s="150" t="s">
        <v>998</v>
      </c>
      <c r="C20" s="219">
        <f>+'Camas Non-Reg - Price Out'!AV172</f>
        <v>3341.5333141126484</v>
      </c>
    </row>
    <row r="21" spans="2:4" x14ac:dyDescent="0.25">
      <c r="B21" s="150" t="s">
        <v>999</v>
      </c>
      <c r="C21" s="219">
        <f>+'Ridgefield Non-Reg - Price Out '!AS251</f>
        <v>12999.746891218456</v>
      </c>
    </row>
    <row r="22" spans="2:4" x14ac:dyDescent="0.25">
      <c r="B22" s="150" t="s">
        <v>1348</v>
      </c>
      <c r="C22" s="219">
        <f>+'Vancouver Non-Reg - Price Out'!AW456</f>
        <v>133594.99883665045</v>
      </c>
    </row>
    <row r="23" spans="2:4" x14ac:dyDescent="0.25">
      <c r="B23" s="150" t="s">
        <v>1001</v>
      </c>
      <c r="C23" s="219">
        <f>+'Washougal Non-Reg - Price Out'!AV242</f>
        <v>14708.14331904864</v>
      </c>
    </row>
    <row r="24" spans="2:4" x14ac:dyDescent="0.25">
      <c r="B24" s="150" t="s">
        <v>1318</v>
      </c>
      <c r="C24" s="301">
        <f>+'West Van Non-Reg - Price Out'!AO39</f>
        <v>2.7815745266520402</v>
      </c>
    </row>
    <row r="25" spans="2:4" ht="15.75" thickBot="1" x14ac:dyDescent="0.3">
      <c r="B25" s="226" t="s">
        <v>26</v>
      </c>
      <c r="C25" s="227">
        <f>SUM(C19:C24)</f>
        <v>284162.30328636518</v>
      </c>
    </row>
    <row r="26" spans="2:4" ht="15.75" thickTop="1" x14ac:dyDescent="0.25"/>
    <row r="27" spans="2:4" x14ac:dyDescent="0.25">
      <c r="B27" s="224" t="s">
        <v>1349</v>
      </c>
      <c r="C27" s="88">
        <f>C16-C25</f>
        <v>-0.87499999994179234</v>
      </c>
    </row>
  </sheetData>
  <mergeCells count="2">
    <mergeCell ref="B3:C3"/>
    <mergeCell ref="B18:C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6" tint="0.59999389629810485"/>
  </sheetPr>
  <dimension ref="A1:AQ333"/>
  <sheetViews>
    <sheetView showGridLines="0" view="pageBreakPreview" topLeftCell="A294" zoomScale="80" zoomScaleNormal="80" zoomScaleSheetLayoutView="80" workbookViewId="0">
      <selection activeCell="C32" sqref="C32"/>
    </sheetView>
  </sheetViews>
  <sheetFormatPr defaultColWidth="10.28515625" defaultRowHeight="12" outlineLevelCol="1" x14ac:dyDescent="0.2"/>
  <cols>
    <col min="1" max="1" width="20.28515625" style="1" customWidth="1"/>
    <col min="2" max="2" width="27.5703125" style="1" bestFit="1" customWidth="1"/>
    <col min="3" max="5" width="13.7109375" style="11" customWidth="1"/>
    <col min="6" max="6" width="10.85546875" style="1" customWidth="1"/>
    <col min="7" max="7" width="24.28515625" style="1" customWidth="1" outlineLevel="1"/>
    <col min="8" max="8" width="17.140625" style="1" customWidth="1" outlineLevel="1"/>
    <col min="9" max="9" width="17.42578125" style="1" customWidth="1" outlineLevel="1"/>
    <col min="10" max="11" width="17.85546875" style="1" customWidth="1" outlineLevel="1"/>
    <col min="12" max="12" width="17.140625" style="1" customWidth="1" outlineLevel="1"/>
    <col min="13" max="13" width="17.42578125" style="1" customWidth="1" outlineLevel="1"/>
    <col min="14" max="14" width="17.85546875" style="1" customWidth="1" outlineLevel="1"/>
    <col min="15" max="15" width="17.42578125" style="1" customWidth="1" outlineLevel="1"/>
    <col min="16" max="16" width="17.85546875" style="1" customWidth="1" outlineLevel="1"/>
    <col min="17" max="17" width="17.42578125" style="1" customWidth="1" outlineLevel="1"/>
    <col min="18" max="18" width="17.140625" style="1" customWidth="1" outlineLevel="1"/>
    <col min="19" max="19" width="18.42578125" style="16" bestFit="1" customWidth="1"/>
    <col min="20" max="20" width="3.42578125" style="1" customWidth="1"/>
    <col min="21" max="32" width="11.85546875" style="1" customWidth="1" outlineLevel="1"/>
    <col min="33" max="33" width="17.7109375" style="1" bestFit="1" customWidth="1"/>
    <col min="34" max="34" width="11.85546875" style="1" customWidth="1"/>
    <col min="35" max="36" width="11.85546875" style="1" customWidth="1" outlineLevel="1"/>
    <col min="37" max="37" width="12.85546875" style="1" customWidth="1" outlineLevel="1"/>
    <col min="38" max="42" width="11.85546875" style="1" customWidth="1" outlineLevel="1"/>
    <col min="43" max="43" width="13.140625" style="1" customWidth="1" outlineLevel="1"/>
    <col min="44" max="16384" width="10.28515625" style="1"/>
  </cols>
  <sheetData>
    <row r="1" spans="1:41" ht="15" x14ac:dyDescent="0.25">
      <c r="A1" s="57" t="s">
        <v>45</v>
      </c>
      <c r="K1" s="154"/>
      <c r="L1" s="89"/>
      <c r="AJ1" s="1">
        <f>23.04/4.33*2.17</f>
        <v>11.546605080831407</v>
      </c>
    </row>
    <row r="2" spans="1:41" ht="15" x14ac:dyDescent="0.25">
      <c r="A2" s="57" t="s">
        <v>46</v>
      </c>
      <c r="G2"/>
      <c r="AJ2" s="1">
        <f>+AJ1*2</f>
        <v>23.093210161662814</v>
      </c>
    </row>
    <row r="3" spans="1:41" ht="15" x14ac:dyDescent="0.25">
      <c r="A3" s="2" t="s">
        <v>1371</v>
      </c>
      <c r="G3"/>
      <c r="J3" s="4"/>
      <c r="AG3" s="6" t="s">
        <v>1169</v>
      </c>
      <c r="AH3" s="6" t="s">
        <v>26</v>
      </c>
    </row>
    <row r="4" spans="1:41" x14ac:dyDescent="0.2">
      <c r="B4" s="5"/>
      <c r="C4" s="90" t="s">
        <v>22</v>
      </c>
      <c r="D4" s="90" t="s">
        <v>22</v>
      </c>
      <c r="E4" s="90" t="s">
        <v>22</v>
      </c>
      <c r="F4" s="2" t="s">
        <v>1323</v>
      </c>
      <c r="G4" s="297">
        <v>45017</v>
      </c>
      <c r="H4" s="297">
        <v>45047</v>
      </c>
      <c r="I4" s="297">
        <v>45078</v>
      </c>
      <c r="J4" s="36">
        <v>45108</v>
      </c>
      <c r="K4" s="36">
        <v>45139</v>
      </c>
      <c r="L4" s="36">
        <v>45170</v>
      </c>
      <c r="M4" s="36">
        <v>45200</v>
      </c>
      <c r="N4" s="36">
        <v>45231</v>
      </c>
      <c r="O4" s="36">
        <v>45261</v>
      </c>
      <c r="P4" s="38">
        <v>45292</v>
      </c>
      <c r="Q4" s="38">
        <v>45323</v>
      </c>
      <c r="R4" s="38">
        <v>45352</v>
      </c>
      <c r="S4" s="91" t="s">
        <v>1370</v>
      </c>
      <c r="U4" s="297">
        <v>45017</v>
      </c>
      <c r="V4" s="297">
        <v>45047</v>
      </c>
      <c r="W4" s="297">
        <v>45078</v>
      </c>
      <c r="X4" s="36">
        <v>45108</v>
      </c>
      <c r="Y4" s="36">
        <v>45139</v>
      </c>
      <c r="Z4" s="36">
        <v>45170</v>
      </c>
      <c r="AA4" s="36">
        <v>45200</v>
      </c>
      <c r="AB4" s="36">
        <v>45231</v>
      </c>
      <c r="AC4" s="36">
        <v>45261</v>
      </c>
      <c r="AD4" s="38">
        <v>45292</v>
      </c>
      <c r="AE4" s="38">
        <v>45323</v>
      </c>
      <c r="AF4" s="38">
        <v>45352</v>
      </c>
      <c r="AG4" s="91" t="s">
        <v>1370</v>
      </c>
      <c r="AH4" s="91" t="s">
        <v>1370</v>
      </c>
      <c r="AJ4" s="305" t="s">
        <v>1325</v>
      </c>
      <c r="AK4" s="306"/>
      <c r="AL4" s="305" t="s">
        <v>1326</v>
      </c>
      <c r="AM4" s="306"/>
      <c r="AN4" s="305" t="s">
        <v>1327</v>
      </c>
      <c r="AO4" s="306"/>
    </row>
    <row r="5" spans="1:41" x14ac:dyDescent="0.2">
      <c r="A5" s="6" t="s">
        <v>0</v>
      </c>
      <c r="B5" s="5" t="s">
        <v>1</v>
      </c>
      <c r="C5" s="237">
        <v>44927</v>
      </c>
      <c r="D5" s="237">
        <v>45170</v>
      </c>
      <c r="E5" s="237">
        <v>45292</v>
      </c>
      <c r="F5" s="5"/>
      <c r="G5" s="298" t="s">
        <v>21</v>
      </c>
      <c r="H5" s="298" t="s">
        <v>21</v>
      </c>
      <c r="I5" s="298" t="s">
        <v>21</v>
      </c>
      <c r="J5" s="37" t="s">
        <v>21</v>
      </c>
      <c r="K5" s="37" t="s">
        <v>21</v>
      </c>
      <c r="L5" s="37" t="s">
        <v>21</v>
      </c>
      <c r="M5" s="37" t="s">
        <v>21</v>
      </c>
      <c r="N5" s="37" t="s">
        <v>21</v>
      </c>
      <c r="O5" s="37" t="s">
        <v>21</v>
      </c>
      <c r="P5" s="39" t="s">
        <v>21</v>
      </c>
      <c r="Q5" s="39" t="s">
        <v>21</v>
      </c>
      <c r="R5" s="39" t="s">
        <v>21</v>
      </c>
      <c r="S5" s="37" t="s">
        <v>21</v>
      </c>
      <c r="U5" s="39" t="s">
        <v>27</v>
      </c>
      <c r="V5" s="39" t="s">
        <v>27</v>
      </c>
      <c r="W5" s="39" t="s">
        <v>27</v>
      </c>
      <c r="X5" s="39" t="s">
        <v>27</v>
      </c>
      <c r="Y5" s="39" t="s">
        <v>27</v>
      </c>
      <c r="Z5" s="39" t="s">
        <v>27</v>
      </c>
      <c r="AA5" s="39" t="s">
        <v>27</v>
      </c>
      <c r="AB5" s="39" t="s">
        <v>27</v>
      </c>
      <c r="AC5" s="39" t="s">
        <v>27</v>
      </c>
      <c r="AD5" s="39" t="s">
        <v>27</v>
      </c>
      <c r="AE5" s="39" t="s">
        <v>27</v>
      </c>
      <c r="AF5" s="39" t="s">
        <v>27</v>
      </c>
      <c r="AG5" s="39" t="s">
        <v>27</v>
      </c>
      <c r="AH5" s="39" t="s">
        <v>27</v>
      </c>
      <c r="AJ5" s="209" t="s">
        <v>1328</v>
      </c>
      <c r="AK5" s="210" t="s">
        <v>1329</v>
      </c>
      <c r="AL5" s="209" t="s">
        <v>1328</v>
      </c>
      <c r="AM5" s="210" t="s">
        <v>1329</v>
      </c>
      <c r="AN5" s="209" t="s">
        <v>1328</v>
      </c>
      <c r="AO5" s="210" t="s">
        <v>1329</v>
      </c>
    </row>
    <row r="6" spans="1:41" x14ac:dyDescent="0.2">
      <c r="G6" s="1">
        <v>6</v>
      </c>
      <c r="H6" s="1">
        <v>7</v>
      </c>
      <c r="I6" s="1">
        <v>8</v>
      </c>
      <c r="J6" s="1">
        <v>9</v>
      </c>
      <c r="K6" s="1">
        <v>10</v>
      </c>
      <c r="L6" s="1">
        <v>11</v>
      </c>
      <c r="M6" s="1">
        <v>12</v>
      </c>
      <c r="N6" s="1">
        <v>13</v>
      </c>
      <c r="O6" s="1">
        <v>14</v>
      </c>
      <c r="P6" s="1">
        <v>3</v>
      </c>
      <c r="Q6" s="1">
        <v>4</v>
      </c>
      <c r="R6" s="1">
        <v>5</v>
      </c>
    </row>
    <row r="7" spans="1:41" x14ac:dyDescent="0.2">
      <c r="A7" s="7" t="s">
        <v>2</v>
      </c>
      <c r="B7" s="7" t="s">
        <v>2</v>
      </c>
      <c r="F7" s="8"/>
      <c r="G7" s="8"/>
    </row>
    <row r="8" spans="1:41" x14ac:dyDescent="0.2">
      <c r="A8" s="7"/>
      <c r="B8" s="9"/>
      <c r="F8" s="8"/>
      <c r="G8" s="8"/>
    </row>
    <row r="9" spans="1:41" s="241" customFormat="1" ht="12.75" x14ac:dyDescent="0.2">
      <c r="A9" s="232" t="s">
        <v>47</v>
      </c>
      <c r="B9" s="232" t="s">
        <v>79</v>
      </c>
      <c r="C9" s="238">
        <v>9.09</v>
      </c>
      <c r="D9" s="238">
        <v>9.0500000000000007</v>
      </c>
      <c r="E9" s="238">
        <v>9.14</v>
      </c>
      <c r="F9" s="239">
        <v>21</v>
      </c>
      <c r="G9" s="233">
        <v>1518.0150000000001</v>
      </c>
      <c r="H9" s="233">
        <v>1508.9250000000002</v>
      </c>
      <c r="I9" s="233">
        <v>1536.2</v>
      </c>
      <c r="J9" s="233">
        <v>1495.27</v>
      </c>
      <c r="K9" s="233">
        <v>1387.7750000000001</v>
      </c>
      <c r="L9" s="233">
        <v>1392.335</v>
      </c>
      <c r="M9" s="233">
        <v>-4.53</v>
      </c>
      <c r="N9" s="240">
        <v>0</v>
      </c>
      <c r="O9" s="240">
        <v>0</v>
      </c>
      <c r="P9" s="240">
        <v>4.55</v>
      </c>
      <c r="Q9" s="240">
        <v>0</v>
      </c>
      <c r="R9" s="240">
        <v>0</v>
      </c>
      <c r="S9" s="233">
        <f t="shared" ref="S9:S50" si="0">SUM(G9:R9)</f>
        <v>8838.5399999999991</v>
      </c>
      <c r="U9" s="242">
        <f>IFERROR(G9/$C9,0)</f>
        <v>166.99834983498351</v>
      </c>
      <c r="V9" s="242">
        <f>IFERROR(H9/$C9,0)</f>
        <v>165.99834983498351</v>
      </c>
      <c r="W9" s="242">
        <f>IFERROR(I9/$C9,0)</f>
        <v>168.99889988998902</v>
      </c>
      <c r="X9" s="242">
        <f t="shared" ref="X9:AB28" si="1">IFERROR(J9/$D9,0)</f>
        <v>165.2232044198895</v>
      </c>
      <c r="Y9" s="242">
        <f t="shared" si="1"/>
        <v>153.34530386740332</v>
      </c>
      <c r="Z9" s="242">
        <f t="shared" si="1"/>
        <v>153.84917127071822</v>
      </c>
      <c r="AA9" s="242">
        <f t="shared" si="1"/>
        <v>-0.50055248618784531</v>
      </c>
      <c r="AB9" s="242">
        <f t="shared" si="1"/>
        <v>0</v>
      </c>
      <c r="AC9" s="242">
        <f>IFERROR(O9/$E9,0)</f>
        <v>0</v>
      </c>
      <c r="AD9" s="242">
        <f>IFERROR(P9/$E9,0)</f>
        <v>0.4978118161925601</v>
      </c>
      <c r="AE9" s="242">
        <f>IFERROR(Q9/$E9,0)</f>
        <v>0</v>
      </c>
      <c r="AF9" s="242">
        <f>IFERROR(R9/$E9,0)</f>
        <v>0</v>
      </c>
      <c r="AG9" s="242">
        <f t="shared" ref="AG9:AG50" si="2">IFERROR(AVERAGE(U9:AF9),0)</f>
        <v>81.200878203997647</v>
      </c>
      <c r="AH9" s="242">
        <f t="shared" ref="AH9:AH50" si="3">SUM(U9:AF9)</f>
        <v>974.41053844797182</v>
      </c>
      <c r="AI9" s="242"/>
    </row>
    <row r="10" spans="1:41" s="241" customFormat="1" ht="12.75" x14ac:dyDescent="0.2">
      <c r="A10" s="232" t="s">
        <v>48</v>
      </c>
      <c r="B10" s="232" t="s">
        <v>80</v>
      </c>
      <c r="C10" s="238">
        <v>12.28</v>
      </c>
      <c r="D10" s="238">
        <v>12.22</v>
      </c>
      <c r="E10" s="238">
        <v>12.41</v>
      </c>
      <c r="F10" s="239">
        <v>21</v>
      </c>
      <c r="G10" s="233">
        <v>5380.1750000000002</v>
      </c>
      <c r="H10" s="233">
        <v>5327.9850000000006</v>
      </c>
      <c r="I10" s="233">
        <v>5326.45</v>
      </c>
      <c r="J10" s="233">
        <v>5148.3899999999994</v>
      </c>
      <c r="K10" s="233">
        <v>4783.7650000000003</v>
      </c>
      <c r="L10" s="233">
        <v>4793.0350000000008</v>
      </c>
      <c r="M10" s="233">
        <v>29.04</v>
      </c>
      <c r="N10" s="240">
        <v>29.04</v>
      </c>
      <c r="O10" s="240">
        <v>0</v>
      </c>
      <c r="P10" s="240">
        <v>0</v>
      </c>
      <c r="Q10" s="240">
        <v>0</v>
      </c>
      <c r="R10" s="240">
        <v>0</v>
      </c>
      <c r="S10" s="233">
        <f t="shared" si="0"/>
        <v>30817.88</v>
      </c>
      <c r="U10" s="242">
        <f t="shared" ref="U10:U24" si="4">IFERROR(G10/$C10,0)</f>
        <v>438.12500000000006</v>
      </c>
      <c r="V10" s="242">
        <f t="shared" ref="V10:V24" si="5">IFERROR(H10/$C10,0)</f>
        <v>433.87500000000006</v>
      </c>
      <c r="W10" s="242">
        <f t="shared" ref="W10:W24" si="6">IFERROR(I10/$C10,0)</f>
        <v>433.75</v>
      </c>
      <c r="X10" s="242">
        <f t="shared" si="1"/>
        <v>421.30851063829778</v>
      </c>
      <c r="Y10" s="242">
        <f t="shared" si="1"/>
        <v>391.47013093289689</v>
      </c>
      <c r="Z10" s="242">
        <f t="shared" si="1"/>
        <v>392.22872340425533</v>
      </c>
      <c r="AA10" s="242">
        <f t="shared" si="1"/>
        <v>2.3764320785597381</v>
      </c>
      <c r="AB10" s="242">
        <f t="shared" si="1"/>
        <v>2.3764320785597381</v>
      </c>
      <c r="AC10" s="242">
        <f t="shared" ref="AC10:AC70" si="7">IFERROR(O10/$E10,0)</f>
        <v>0</v>
      </c>
      <c r="AD10" s="242">
        <f t="shared" ref="AD10:AD70" si="8">IFERROR(P10/$E10,0)</f>
        <v>0</v>
      </c>
      <c r="AE10" s="242">
        <f t="shared" ref="AE10:AE70" si="9">IFERROR(Q10/$E10,0)</f>
        <v>0</v>
      </c>
      <c r="AF10" s="242">
        <f t="shared" ref="AF10:AF70" si="10">IFERROR(R10/$E10,0)</f>
        <v>0</v>
      </c>
      <c r="AG10" s="242">
        <f t="shared" si="2"/>
        <v>209.62585242771419</v>
      </c>
      <c r="AH10" s="242">
        <f t="shared" si="3"/>
        <v>2515.5102291325702</v>
      </c>
      <c r="AI10" s="242"/>
    </row>
    <row r="11" spans="1:41" s="241" customFormat="1" ht="12.75" x14ac:dyDescent="0.2">
      <c r="A11" s="232" t="s">
        <v>49</v>
      </c>
      <c r="B11" s="232" t="s">
        <v>81</v>
      </c>
      <c r="C11" s="238">
        <v>10.57</v>
      </c>
      <c r="D11" s="238">
        <v>10.52</v>
      </c>
      <c r="E11" s="238">
        <v>10.52</v>
      </c>
      <c r="F11" s="239">
        <v>21</v>
      </c>
      <c r="G11" s="233">
        <v>58930.76</v>
      </c>
      <c r="H11" s="233">
        <v>58472.07</v>
      </c>
      <c r="I11" s="233">
        <v>58942.004999999997</v>
      </c>
      <c r="J11" s="233">
        <v>58127.415000000001</v>
      </c>
      <c r="K11" s="233">
        <v>55819.074999999997</v>
      </c>
      <c r="L11" s="233">
        <v>55191.744999999995</v>
      </c>
      <c r="M11" s="233">
        <v>128.91</v>
      </c>
      <c r="N11" s="240">
        <v>113.07999999999998</v>
      </c>
      <c r="O11" s="240">
        <v>0</v>
      </c>
      <c r="P11" s="240">
        <v>5.35</v>
      </c>
      <c r="Q11" s="240">
        <v>5.3449999999999998</v>
      </c>
      <c r="R11" s="240">
        <v>5.3449999999999998</v>
      </c>
      <c r="S11" s="233">
        <f t="shared" si="0"/>
        <v>345741.09999999992</v>
      </c>
      <c r="U11" s="242">
        <f t="shared" si="4"/>
        <v>5575.2847682119209</v>
      </c>
      <c r="V11" s="242">
        <f t="shared" si="5"/>
        <v>5531.88930936613</v>
      </c>
      <c r="W11" s="242">
        <f t="shared" si="6"/>
        <v>5576.3486281929991</v>
      </c>
      <c r="X11" s="242">
        <f t="shared" si="1"/>
        <v>5525.4196768060838</v>
      </c>
      <c r="Y11" s="242">
        <f t="shared" si="1"/>
        <v>5305.9957224334603</v>
      </c>
      <c r="Z11" s="242">
        <f t="shared" si="1"/>
        <v>5246.3635931558929</v>
      </c>
      <c r="AA11" s="242">
        <f t="shared" si="1"/>
        <v>12.253802281368822</v>
      </c>
      <c r="AB11" s="242">
        <f t="shared" si="1"/>
        <v>10.749049429657793</v>
      </c>
      <c r="AC11" s="242">
        <f t="shared" si="7"/>
        <v>0</v>
      </c>
      <c r="AD11" s="242">
        <f t="shared" si="8"/>
        <v>0.5085551330798479</v>
      </c>
      <c r="AE11" s="242">
        <f t="shared" si="9"/>
        <v>0.50807984790874527</v>
      </c>
      <c r="AF11" s="242">
        <f t="shared" si="10"/>
        <v>0.50807984790874527</v>
      </c>
      <c r="AG11" s="242">
        <f t="shared" si="2"/>
        <v>2732.1524387255345</v>
      </c>
      <c r="AH11" s="242">
        <f t="shared" si="3"/>
        <v>32785.829264706415</v>
      </c>
      <c r="AI11" s="242"/>
    </row>
    <row r="12" spans="1:41" s="241" customFormat="1" ht="12.75" x14ac:dyDescent="0.2">
      <c r="A12" s="232" t="s">
        <v>50</v>
      </c>
      <c r="B12" s="232" t="s">
        <v>82</v>
      </c>
      <c r="C12" s="238">
        <v>5.7</v>
      </c>
      <c r="D12" s="238">
        <v>5.67</v>
      </c>
      <c r="E12" s="238">
        <v>5.67</v>
      </c>
      <c r="F12" s="239">
        <v>21</v>
      </c>
      <c r="G12" s="233">
        <v>4936.2000000000007</v>
      </c>
      <c r="H12" s="233">
        <v>4902.2100000000009</v>
      </c>
      <c r="I12" s="233">
        <v>4976.1000000000004</v>
      </c>
      <c r="J12" s="233">
        <v>4919.92</v>
      </c>
      <c r="K12" s="233">
        <v>4735.7550000000001</v>
      </c>
      <c r="L12" s="233">
        <v>4678.9949999999999</v>
      </c>
      <c r="M12" s="233">
        <v>21.975000000000001</v>
      </c>
      <c r="N12" s="240">
        <v>21.975000000000001</v>
      </c>
      <c r="O12" s="240">
        <v>0</v>
      </c>
      <c r="P12" s="240">
        <v>0</v>
      </c>
      <c r="Q12" s="240">
        <v>0</v>
      </c>
      <c r="R12" s="240">
        <v>0</v>
      </c>
      <c r="S12" s="233">
        <f t="shared" si="0"/>
        <v>29193.129999999997</v>
      </c>
      <c r="U12" s="242">
        <f t="shared" si="4"/>
        <v>866.00000000000011</v>
      </c>
      <c r="V12" s="242">
        <f t="shared" si="5"/>
        <v>860.0368421052633</v>
      </c>
      <c r="W12" s="242">
        <f t="shared" si="6"/>
        <v>873</v>
      </c>
      <c r="X12" s="242">
        <f t="shared" si="1"/>
        <v>867.71075837742512</v>
      </c>
      <c r="Y12" s="242">
        <f t="shared" si="1"/>
        <v>835.23015873015879</v>
      </c>
      <c r="Z12" s="242">
        <f t="shared" si="1"/>
        <v>825.21957671957671</v>
      </c>
      <c r="AA12" s="242">
        <f t="shared" si="1"/>
        <v>3.8756613756613758</v>
      </c>
      <c r="AB12" s="242">
        <f t="shared" si="1"/>
        <v>3.8756613756613758</v>
      </c>
      <c r="AC12" s="242">
        <f t="shared" si="7"/>
        <v>0</v>
      </c>
      <c r="AD12" s="242">
        <f t="shared" si="8"/>
        <v>0</v>
      </c>
      <c r="AE12" s="242">
        <f t="shared" si="9"/>
        <v>0</v>
      </c>
      <c r="AF12" s="242">
        <f t="shared" si="10"/>
        <v>0</v>
      </c>
      <c r="AG12" s="242">
        <f t="shared" si="2"/>
        <v>427.91238822364556</v>
      </c>
      <c r="AH12" s="242">
        <f t="shared" si="3"/>
        <v>5134.9486586837465</v>
      </c>
      <c r="AI12" s="242"/>
    </row>
    <row r="13" spans="1:41" s="241" customFormat="1" ht="12.75" x14ac:dyDescent="0.2">
      <c r="A13" s="232" t="s">
        <v>51</v>
      </c>
      <c r="B13" s="232" t="s">
        <v>83</v>
      </c>
      <c r="C13" s="238">
        <v>15.89</v>
      </c>
      <c r="D13" s="238">
        <v>15.809999999999999</v>
      </c>
      <c r="E13" s="238">
        <v>16.13</v>
      </c>
      <c r="F13" s="239">
        <v>21</v>
      </c>
      <c r="G13" s="233">
        <v>541292.70000000007</v>
      </c>
      <c r="H13" s="233">
        <v>538614.51500000001</v>
      </c>
      <c r="I13" s="233">
        <v>540295.48</v>
      </c>
      <c r="J13" s="233">
        <v>527183.74000000022</v>
      </c>
      <c r="K13" s="233">
        <v>491605.92999999993</v>
      </c>
      <c r="L13" s="233">
        <v>487902.98499999999</v>
      </c>
      <c r="M13" s="233">
        <v>1027.42</v>
      </c>
      <c r="N13" s="240">
        <v>375.7299999999999</v>
      </c>
      <c r="O13" s="240">
        <v>3.95</v>
      </c>
      <c r="P13" s="240">
        <v>3.95</v>
      </c>
      <c r="Q13" s="240">
        <v>10.08</v>
      </c>
      <c r="R13" s="240">
        <v>199.57000000000002</v>
      </c>
      <c r="S13" s="233">
        <f t="shared" si="0"/>
        <v>3128516.0500000003</v>
      </c>
      <c r="U13" s="242">
        <f t="shared" si="4"/>
        <v>34064.990560100698</v>
      </c>
      <c r="V13" s="242">
        <f t="shared" si="5"/>
        <v>33896.445248584016</v>
      </c>
      <c r="W13" s="242">
        <f t="shared" si="6"/>
        <v>34002.232850849592</v>
      </c>
      <c r="X13" s="242">
        <f t="shared" si="1"/>
        <v>33344.955091714124</v>
      </c>
      <c r="Y13" s="242">
        <f t="shared" si="1"/>
        <v>31094.619228336494</v>
      </c>
      <c r="Z13" s="242">
        <f t="shared" si="1"/>
        <v>30860.403858317521</v>
      </c>
      <c r="AA13" s="242">
        <f t="shared" si="1"/>
        <v>64.985452245414308</v>
      </c>
      <c r="AB13" s="242">
        <f t="shared" si="1"/>
        <v>23.765338393421882</v>
      </c>
      <c r="AC13" s="242">
        <f t="shared" si="7"/>
        <v>0.24488530688158713</v>
      </c>
      <c r="AD13" s="242">
        <f t="shared" si="8"/>
        <v>0.24488530688158713</v>
      </c>
      <c r="AE13" s="242">
        <f t="shared" si="9"/>
        <v>0.6249225046497211</v>
      </c>
      <c r="AF13" s="242">
        <f t="shared" si="10"/>
        <v>12.372597644141354</v>
      </c>
      <c r="AG13" s="242">
        <f t="shared" si="2"/>
        <v>16447.157076608655</v>
      </c>
      <c r="AH13" s="242">
        <f t="shared" si="3"/>
        <v>197365.88491930388</v>
      </c>
      <c r="AI13" s="242"/>
    </row>
    <row r="14" spans="1:41" s="241" customFormat="1" ht="12.75" x14ac:dyDescent="0.2">
      <c r="A14" s="232" t="s">
        <v>52</v>
      </c>
      <c r="B14" s="232" t="s">
        <v>84</v>
      </c>
      <c r="C14" s="238">
        <v>23.15</v>
      </c>
      <c r="D14" s="238">
        <v>23.04</v>
      </c>
      <c r="E14" s="238">
        <v>23.52</v>
      </c>
      <c r="F14" s="239">
        <v>21</v>
      </c>
      <c r="G14" s="233">
        <v>202236.75999999998</v>
      </c>
      <c r="H14" s="233">
        <v>201022.99999999994</v>
      </c>
      <c r="I14" s="233">
        <v>205931.98499999999</v>
      </c>
      <c r="J14" s="233">
        <v>202851.44500000001</v>
      </c>
      <c r="K14" s="233">
        <v>193900.96500000003</v>
      </c>
      <c r="L14" s="233">
        <v>192538.42500000002</v>
      </c>
      <c r="M14" s="233">
        <v>278.85000000000002</v>
      </c>
      <c r="N14" s="240">
        <v>-148.59999999999997</v>
      </c>
      <c r="O14" s="240">
        <v>0</v>
      </c>
      <c r="P14" s="240">
        <v>-5.43</v>
      </c>
      <c r="Q14" s="240">
        <v>0</v>
      </c>
      <c r="R14" s="240">
        <v>-276.04000000000002</v>
      </c>
      <c r="S14" s="233">
        <f t="shared" si="0"/>
        <v>1198331.3600000001</v>
      </c>
      <c r="U14" s="242">
        <f t="shared" si="4"/>
        <v>8735.9291576673859</v>
      </c>
      <c r="V14" s="242">
        <f t="shared" si="5"/>
        <v>8683.4989200863911</v>
      </c>
      <c r="W14" s="242">
        <f t="shared" si="6"/>
        <v>8895.5501079913611</v>
      </c>
      <c r="X14" s="242">
        <f t="shared" si="1"/>
        <v>8804.3161892361113</v>
      </c>
      <c r="Y14" s="242">
        <f t="shared" si="1"/>
        <v>8415.8404947916679</v>
      </c>
      <c r="Z14" s="242">
        <f t="shared" si="1"/>
        <v>8356.7024739583339</v>
      </c>
      <c r="AA14" s="242">
        <f t="shared" si="1"/>
        <v>12.102864583333334</v>
      </c>
      <c r="AB14" s="242">
        <f t="shared" si="1"/>
        <v>-6.4496527777777768</v>
      </c>
      <c r="AC14" s="242">
        <f t="shared" si="7"/>
        <v>0</v>
      </c>
      <c r="AD14" s="242">
        <f t="shared" si="8"/>
        <v>-0.2308673469387755</v>
      </c>
      <c r="AE14" s="242">
        <f t="shared" si="9"/>
        <v>0</v>
      </c>
      <c r="AF14" s="242">
        <f t="shared" si="10"/>
        <v>-11.736394557823131</v>
      </c>
      <c r="AG14" s="242">
        <f t="shared" si="2"/>
        <v>4323.7936078026696</v>
      </c>
      <c r="AH14" s="242">
        <f t="shared" si="3"/>
        <v>51885.523293632039</v>
      </c>
      <c r="AI14" s="242"/>
    </row>
    <row r="15" spans="1:41" s="241" customFormat="1" ht="12.75" x14ac:dyDescent="0.2">
      <c r="A15" s="232" t="s">
        <v>53</v>
      </c>
      <c r="B15" s="232" t="s">
        <v>85</v>
      </c>
      <c r="C15" s="238">
        <v>34.369999999999997</v>
      </c>
      <c r="D15" s="238">
        <v>34.200000000000003</v>
      </c>
      <c r="E15" s="238">
        <v>32.92</v>
      </c>
      <c r="F15" s="239">
        <v>21</v>
      </c>
      <c r="G15" s="233">
        <v>25725.844999999998</v>
      </c>
      <c r="H15" s="233">
        <v>25547.855</v>
      </c>
      <c r="I15" s="233">
        <v>29910.16</v>
      </c>
      <c r="J15" s="233">
        <v>29637.85</v>
      </c>
      <c r="K15" s="233">
        <v>29229.05</v>
      </c>
      <c r="L15" s="233">
        <v>28921.07</v>
      </c>
      <c r="M15" s="233">
        <v>-219.035</v>
      </c>
      <c r="N15" s="240">
        <v>-467.89499999999998</v>
      </c>
      <c r="O15" s="240">
        <v>0</v>
      </c>
      <c r="P15" s="240">
        <v>0</v>
      </c>
      <c r="Q15" s="240">
        <v>0</v>
      </c>
      <c r="R15" s="240">
        <v>0</v>
      </c>
      <c r="S15" s="233">
        <f t="shared" si="0"/>
        <v>168284.9</v>
      </c>
      <c r="U15" s="242">
        <f t="shared" si="4"/>
        <v>748.49709048588886</v>
      </c>
      <c r="V15" s="242">
        <f t="shared" si="5"/>
        <v>743.31844631946467</v>
      </c>
      <c r="W15" s="242">
        <f t="shared" si="6"/>
        <v>870.24032586558053</v>
      </c>
      <c r="X15" s="242">
        <f t="shared" si="1"/>
        <v>866.6038011695905</v>
      </c>
      <c r="Y15" s="242">
        <f t="shared" si="1"/>
        <v>854.65058479532149</v>
      </c>
      <c r="Z15" s="242">
        <f t="shared" si="1"/>
        <v>845.64532163742683</v>
      </c>
      <c r="AA15" s="242">
        <f t="shared" si="1"/>
        <v>-6.4045321637426893</v>
      </c>
      <c r="AB15" s="242">
        <f t="shared" si="1"/>
        <v>-13.681140350877191</v>
      </c>
      <c r="AC15" s="242">
        <f t="shared" si="7"/>
        <v>0</v>
      </c>
      <c r="AD15" s="242">
        <f t="shared" si="8"/>
        <v>0</v>
      </c>
      <c r="AE15" s="242">
        <f t="shared" si="9"/>
        <v>0</v>
      </c>
      <c r="AF15" s="242">
        <f t="shared" si="10"/>
        <v>0</v>
      </c>
      <c r="AG15" s="242">
        <f t="shared" si="2"/>
        <v>409.07249147988773</v>
      </c>
      <c r="AH15" s="242">
        <f t="shared" si="3"/>
        <v>4908.8698977586528</v>
      </c>
      <c r="AI15" s="242"/>
    </row>
    <row r="16" spans="1:41" s="241" customFormat="1" ht="12.75" x14ac:dyDescent="0.2">
      <c r="A16" s="232" t="s">
        <v>54</v>
      </c>
      <c r="B16" s="232" t="s">
        <v>86</v>
      </c>
      <c r="C16" s="238">
        <v>42.75</v>
      </c>
      <c r="D16" s="238">
        <v>42.54</v>
      </c>
      <c r="E16" s="238">
        <v>43.45</v>
      </c>
      <c r="F16" s="239">
        <v>21</v>
      </c>
      <c r="G16" s="233">
        <v>5610.91</v>
      </c>
      <c r="H16" s="233">
        <v>5536.09</v>
      </c>
      <c r="I16" s="233">
        <v>5685.72</v>
      </c>
      <c r="J16" s="233">
        <v>5589.51</v>
      </c>
      <c r="K16" s="233">
        <v>5138.875</v>
      </c>
      <c r="L16" s="233">
        <v>4723.2650000000003</v>
      </c>
      <c r="M16" s="233">
        <v>0</v>
      </c>
      <c r="N16" s="240">
        <v>0</v>
      </c>
      <c r="O16" s="240">
        <v>0</v>
      </c>
      <c r="P16" s="240">
        <v>0</v>
      </c>
      <c r="Q16" s="240">
        <v>0</v>
      </c>
      <c r="R16" s="240">
        <v>0</v>
      </c>
      <c r="S16" s="233">
        <f t="shared" si="0"/>
        <v>32284.370000000003</v>
      </c>
      <c r="U16" s="242">
        <f t="shared" si="4"/>
        <v>131.24935672514619</v>
      </c>
      <c r="V16" s="242">
        <f t="shared" si="5"/>
        <v>129.49918128654971</v>
      </c>
      <c r="W16" s="242">
        <f t="shared" si="6"/>
        <v>132.99929824561403</v>
      </c>
      <c r="X16" s="242">
        <f t="shared" si="1"/>
        <v>131.39421720733429</v>
      </c>
      <c r="Y16" s="242">
        <f t="shared" si="1"/>
        <v>120.80101081335214</v>
      </c>
      <c r="Z16" s="242">
        <f t="shared" si="1"/>
        <v>111.03114715561826</v>
      </c>
      <c r="AA16" s="242">
        <f t="shared" si="1"/>
        <v>0</v>
      </c>
      <c r="AB16" s="242">
        <f t="shared" si="1"/>
        <v>0</v>
      </c>
      <c r="AC16" s="242">
        <f t="shared" si="7"/>
        <v>0</v>
      </c>
      <c r="AD16" s="242">
        <f t="shared" si="8"/>
        <v>0</v>
      </c>
      <c r="AE16" s="242">
        <f t="shared" si="9"/>
        <v>0</v>
      </c>
      <c r="AF16" s="242">
        <f t="shared" si="10"/>
        <v>0</v>
      </c>
      <c r="AG16" s="242">
        <f t="shared" si="2"/>
        <v>63.081184286134551</v>
      </c>
      <c r="AH16" s="242">
        <f t="shared" si="3"/>
        <v>756.97421143361464</v>
      </c>
      <c r="AI16" s="242"/>
    </row>
    <row r="17" spans="1:43" s="241" customFormat="1" ht="12.75" x14ac:dyDescent="0.2">
      <c r="A17" s="232" t="s">
        <v>55</v>
      </c>
      <c r="B17" s="232" t="s">
        <v>87</v>
      </c>
      <c r="C17" s="238">
        <v>53.220000000000006</v>
      </c>
      <c r="D17" s="238">
        <v>52.96</v>
      </c>
      <c r="E17" s="238">
        <v>54.06</v>
      </c>
      <c r="F17" s="239">
        <v>21</v>
      </c>
      <c r="G17" s="233">
        <v>1862.6949999999999</v>
      </c>
      <c r="H17" s="233">
        <v>1862.6949999999999</v>
      </c>
      <c r="I17" s="233">
        <v>1736.2950000000001</v>
      </c>
      <c r="J17" s="233">
        <v>1643.155</v>
      </c>
      <c r="K17" s="233">
        <v>1247.675</v>
      </c>
      <c r="L17" s="233">
        <v>1234.4349999999999</v>
      </c>
      <c r="M17" s="233">
        <v>13.24</v>
      </c>
      <c r="N17" s="240">
        <v>13.24</v>
      </c>
      <c r="O17" s="240">
        <v>0</v>
      </c>
      <c r="P17" s="240">
        <v>0</v>
      </c>
      <c r="Q17" s="240">
        <v>0</v>
      </c>
      <c r="R17" s="240">
        <v>0</v>
      </c>
      <c r="S17" s="233">
        <f t="shared" si="0"/>
        <v>9613.4299999999985</v>
      </c>
      <c r="U17" s="242">
        <f t="shared" si="4"/>
        <v>34.999906050357005</v>
      </c>
      <c r="V17" s="242">
        <f t="shared" si="5"/>
        <v>34.999906050357005</v>
      </c>
      <c r="W17" s="242">
        <f t="shared" si="6"/>
        <v>32.624859075535511</v>
      </c>
      <c r="X17" s="242">
        <f t="shared" si="1"/>
        <v>31.026340634441087</v>
      </c>
      <c r="Y17" s="242">
        <f t="shared" si="1"/>
        <v>23.558817975830813</v>
      </c>
      <c r="Z17" s="242">
        <f t="shared" si="1"/>
        <v>23.308817975830813</v>
      </c>
      <c r="AA17" s="242">
        <f t="shared" si="1"/>
        <v>0.25</v>
      </c>
      <c r="AB17" s="242">
        <f t="shared" si="1"/>
        <v>0.25</v>
      </c>
      <c r="AC17" s="242">
        <f t="shared" si="7"/>
        <v>0</v>
      </c>
      <c r="AD17" s="242">
        <f t="shared" si="8"/>
        <v>0</v>
      </c>
      <c r="AE17" s="242">
        <f t="shared" si="9"/>
        <v>0</v>
      </c>
      <c r="AF17" s="242">
        <f t="shared" si="10"/>
        <v>0</v>
      </c>
      <c r="AG17" s="242">
        <f t="shared" si="2"/>
        <v>15.084887313529352</v>
      </c>
      <c r="AH17" s="242">
        <f t="shared" si="3"/>
        <v>181.01864776235223</v>
      </c>
      <c r="AI17" s="242"/>
    </row>
    <row r="18" spans="1:43" s="241" customFormat="1" ht="12.75" x14ac:dyDescent="0.2">
      <c r="A18" s="232" t="s">
        <v>56</v>
      </c>
      <c r="B18" s="232" t="s">
        <v>88</v>
      </c>
      <c r="C18" s="238">
        <v>63.820000000000007</v>
      </c>
      <c r="D18" s="238">
        <v>63.510000000000005</v>
      </c>
      <c r="E18" s="238">
        <v>64.790000000000006</v>
      </c>
      <c r="F18" s="239">
        <v>21</v>
      </c>
      <c r="G18" s="233">
        <v>797.75</v>
      </c>
      <c r="H18" s="233">
        <v>733.93</v>
      </c>
      <c r="I18" s="233">
        <v>1061</v>
      </c>
      <c r="J18" s="233">
        <v>1061</v>
      </c>
      <c r="K18" s="233">
        <v>1153.9449999999999</v>
      </c>
      <c r="L18" s="233">
        <v>1153.9449999999999</v>
      </c>
      <c r="M18" s="233">
        <v>7.94</v>
      </c>
      <c r="N18" s="240">
        <v>7.94</v>
      </c>
      <c r="O18" s="240">
        <v>0</v>
      </c>
      <c r="P18" s="240">
        <v>0</v>
      </c>
      <c r="Q18" s="240">
        <v>0</v>
      </c>
      <c r="R18" s="240">
        <v>0</v>
      </c>
      <c r="S18" s="233">
        <f t="shared" si="0"/>
        <v>5977.4499999999989</v>
      </c>
      <c r="U18" s="242">
        <f t="shared" si="4"/>
        <v>12.499999999999998</v>
      </c>
      <c r="V18" s="242">
        <f t="shared" si="5"/>
        <v>11.499999999999998</v>
      </c>
      <c r="W18" s="242">
        <f t="shared" si="6"/>
        <v>16.624882481980567</v>
      </c>
      <c r="X18" s="242">
        <f t="shared" si="1"/>
        <v>16.706030546370648</v>
      </c>
      <c r="Y18" s="242">
        <f t="shared" si="1"/>
        <v>18.16950086600535</v>
      </c>
      <c r="Z18" s="242">
        <f t="shared" si="1"/>
        <v>18.16950086600535</v>
      </c>
      <c r="AA18" s="242">
        <f t="shared" si="1"/>
        <v>0.125019681939852</v>
      </c>
      <c r="AB18" s="242">
        <f t="shared" si="1"/>
        <v>0.125019681939852</v>
      </c>
      <c r="AC18" s="242">
        <f t="shared" si="7"/>
        <v>0</v>
      </c>
      <c r="AD18" s="242">
        <f t="shared" si="8"/>
        <v>0</v>
      </c>
      <c r="AE18" s="242">
        <f t="shared" si="9"/>
        <v>0</v>
      </c>
      <c r="AF18" s="242">
        <f t="shared" si="10"/>
        <v>0</v>
      </c>
      <c r="AG18" s="242">
        <f t="shared" si="2"/>
        <v>7.8266628436868011</v>
      </c>
      <c r="AH18" s="242">
        <f t="shared" si="3"/>
        <v>93.919954124241613</v>
      </c>
      <c r="AI18" s="242"/>
    </row>
    <row r="19" spans="1:43" s="241" customFormat="1" ht="12.75" x14ac:dyDescent="0.2">
      <c r="A19" s="232" t="s">
        <v>57</v>
      </c>
      <c r="B19" s="232" t="s">
        <v>89</v>
      </c>
      <c r="C19" s="238">
        <v>73.98</v>
      </c>
      <c r="D19" s="238">
        <v>73.62</v>
      </c>
      <c r="E19" s="238">
        <v>75.13</v>
      </c>
      <c r="F19" s="239">
        <v>21</v>
      </c>
      <c r="G19" s="233">
        <v>221.94</v>
      </c>
      <c r="H19" s="233">
        <v>221.94</v>
      </c>
      <c r="I19" s="233">
        <v>221.94</v>
      </c>
      <c r="J19" s="233">
        <v>184.95</v>
      </c>
      <c r="K19" s="233">
        <v>73.8</v>
      </c>
      <c r="L19" s="233">
        <v>73.8</v>
      </c>
      <c r="M19" s="233">
        <v>0</v>
      </c>
      <c r="N19" s="240">
        <v>0</v>
      </c>
      <c r="O19" s="240">
        <v>0</v>
      </c>
      <c r="P19" s="240">
        <v>0</v>
      </c>
      <c r="Q19" s="240">
        <v>0</v>
      </c>
      <c r="R19" s="240">
        <v>0</v>
      </c>
      <c r="S19" s="233">
        <f t="shared" si="0"/>
        <v>998.36999999999989</v>
      </c>
      <c r="U19" s="242">
        <f t="shared" si="4"/>
        <v>3</v>
      </c>
      <c r="V19" s="242">
        <f t="shared" si="5"/>
        <v>3</v>
      </c>
      <c r="W19" s="242">
        <f t="shared" si="6"/>
        <v>3</v>
      </c>
      <c r="X19" s="242">
        <f t="shared" si="1"/>
        <v>2.5122249388753053</v>
      </c>
      <c r="Y19" s="242">
        <f t="shared" si="1"/>
        <v>1.002444987775061</v>
      </c>
      <c r="Z19" s="242">
        <f t="shared" si="1"/>
        <v>1.002444987775061</v>
      </c>
      <c r="AA19" s="242">
        <f t="shared" si="1"/>
        <v>0</v>
      </c>
      <c r="AB19" s="242">
        <f t="shared" si="1"/>
        <v>0</v>
      </c>
      <c r="AC19" s="242">
        <f t="shared" si="7"/>
        <v>0</v>
      </c>
      <c r="AD19" s="242">
        <f t="shared" si="8"/>
        <v>0</v>
      </c>
      <c r="AE19" s="242">
        <f t="shared" si="9"/>
        <v>0</v>
      </c>
      <c r="AF19" s="242">
        <f t="shared" si="10"/>
        <v>0</v>
      </c>
      <c r="AG19" s="242">
        <f t="shared" si="2"/>
        <v>1.1264262428687857</v>
      </c>
      <c r="AH19" s="242">
        <f t="shared" si="3"/>
        <v>13.517114914425427</v>
      </c>
      <c r="AI19" s="242"/>
    </row>
    <row r="20" spans="1:43" s="241" customFormat="1" ht="12.75" x14ac:dyDescent="0.2">
      <c r="A20" s="232" t="s">
        <v>58</v>
      </c>
      <c r="B20" s="232" t="s">
        <v>90</v>
      </c>
      <c r="C20" s="238">
        <v>81.27</v>
      </c>
      <c r="D20" s="238">
        <v>80.88</v>
      </c>
      <c r="E20" s="238">
        <v>82.55</v>
      </c>
      <c r="F20" s="239">
        <v>21</v>
      </c>
      <c r="G20" s="233">
        <v>81.27</v>
      </c>
      <c r="H20" s="233">
        <v>81.27</v>
      </c>
      <c r="I20" s="233">
        <v>81.27</v>
      </c>
      <c r="J20" s="233">
        <v>81.27</v>
      </c>
      <c r="K20" s="233">
        <v>81.075000000000003</v>
      </c>
      <c r="L20" s="233">
        <v>81.075000000000003</v>
      </c>
      <c r="M20" s="233">
        <v>0</v>
      </c>
      <c r="N20" s="240">
        <v>0</v>
      </c>
      <c r="O20" s="240">
        <v>0</v>
      </c>
      <c r="P20" s="240">
        <v>0</v>
      </c>
      <c r="Q20" s="240">
        <v>0</v>
      </c>
      <c r="R20" s="240">
        <v>0</v>
      </c>
      <c r="S20" s="233">
        <f t="shared" si="0"/>
        <v>487.22999999999996</v>
      </c>
      <c r="U20" s="242">
        <f t="shared" si="4"/>
        <v>1</v>
      </c>
      <c r="V20" s="242">
        <f t="shared" si="5"/>
        <v>1</v>
      </c>
      <c r="W20" s="242">
        <f t="shared" si="6"/>
        <v>1</v>
      </c>
      <c r="X20" s="242">
        <f t="shared" si="1"/>
        <v>1.0048219584569733</v>
      </c>
      <c r="Y20" s="242">
        <f t="shared" si="1"/>
        <v>1.0024109792284868</v>
      </c>
      <c r="Z20" s="242">
        <f t="shared" si="1"/>
        <v>1.0024109792284868</v>
      </c>
      <c r="AA20" s="242">
        <f t="shared" si="1"/>
        <v>0</v>
      </c>
      <c r="AB20" s="242">
        <f t="shared" si="1"/>
        <v>0</v>
      </c>
      <c r="AC20" s="242">
        <f t="shared" si="7"/>
        <v>0</v>
      </c>
      <c r="AD20" s="242">
        <f t="shared" si="8"/>
        <v>0</v>
      </c>
      <c r="AE20" s="242">
        <f t="shared" si="9"/>
        <v>0</v>
      </c>
      <c r="AF20" s="242">
        <f t="shared" si="10"/>
        <v>0</v>
      </c>
      <c r="AG20" s="242">
        <f t="shared" si="2"/>
        <v>0.50080365974282892</v>
      </c>
      <c r="AH20" s="242">
        <f t="shared" si="3"/>
        <v>6.0096439169139471</v>
      </c>
      <c r="AI20" s="242"/>
    </row>
    <row r="21" spans="1:43" s="241" customFormat="1" ht="12.75" x14ac:dyDescent="0.2">
      <c r="A21" s="232" t="s">
        <v>1081</v>
      </c>
      <c r="B21" s="232" t="s">
        <v>269</v>
      </c>
      <c r="C21" s="238">
        <v>95.32</v>
      </c>
      <c r="D21" s="238">
        <v>94.86</v>
      </c>
      <c r="E21" s="238">
        <v>96.71</v>
      </c>
      <c r="F21" s="239">
        <v>21</v>
      </c>
      <c r="G21" s="233">
        <v>0</v>
      </c>
      <c r="H21" s="233">
        <v>0</v>
      </c>
      <c r="I21" s="233">
        <v>0</v>
      </c>
      <c r="J21" s="233">
        <v>0</v>
      </c>
      <c r="K21" s="233">
        <v>0</v>
      </c>
      <c r="L21" s="233">
        <v>0</v>
      </c>
      <c r="M21" s="233">
        <v>0</v>
      </c>
      <c r="N21" s="240">
        <v>0</v>
      </c>
      <c r="O21" s="240">
        <v>0</v>
      </c>
      <c r="P21" s="240">
        <v>0</v>
      </c>
      <c r="Q21" s="240">
        <v>0</v>
      </c>
      <c r="R21" s="240">
        <v>0</v>
      </c>
      <c r="S21" s="233">
        <f t="shared" si="0"/>
        <v>0</v>
      </c>
      <c r="U21" s="242">
        <f t="shared" si="4"/>
        <v>0</v>
      </c>
      <c r="V21" s="242">
        <f t="shared" si="5"/>
        <v>0</v>
      </c>
      <c r="W21" s="242">
        <f t="shared" si="6"/>
        <v>0</v>
      </c>
      <c r="X21" s="242">
        <f t="shared" si="1"/>
        <v>0</v>
      </c>
      <c r="Y21" s="242">
        <f t="shared" si="1"/>
        <v>0</v>
      </c>
      <c r="Z21" s="242">
        <f t="shared" si="1"/>
        <v>0</v>
      </c>
      <c r="AA21" s="242">
        <f t="shared" si="1"/>
        <v>0</v>
      </c>
      <c r="AB21" s="242">
        <f t="shared" si="1"/>
        <v>0</v>
      </c>
      <c r="AC21" s="242">
        <f t="shared" si="7"/>
        <v>0</v>
      </c>
      <c r="AD21" s="242">
        <f t="shared" si="8"/>
        <v>0</v>
      </c>
      <c r="AE21" s="242">
        <f t="shared" si="9"/>
        <v>0</v>
      </c>
      <c r="AF21" s="242">
        <f t="shared" si="10"/>
        <v>0</v>
      </c>
      <c r="AG21" s="242">
        <f t="shared" si="2"/>
        <v>0</v>
      </c>
      <c r="AH21" s="242">
        <f t="shared" si="3"/>
        <v>0</v>
      </c>
      <c r="AI21" s="242"/>
    </row>
    <row r="22" spans="1:43" s="241" customFormat="1" ht="12.75" x14ac:dyDescent="0.2">
      <c r="A22" s="232" t="s">
        <v>731</v>
      </c>
      <c r="B22" s="232" t="s">
        <v>756</v>
      </c>
      <c r="C22" s="232">
        <v>9.09</v>
      </c>
      <c r="D22" s="232">
        <v>9.0500000000000007</v>
      </c>
      <c r="E22" s="232">
        <v>9.14</v>
      </c>
      <c r="F22" s="239">
        <v>21</v>
      </c>
      <c r="G22" s="233">
        <v>336.32499999999999</v>
      </c>
      <c r="H22" s="233">
        <v>336.32499999999999</v>
      </c>
      <c r="I22" s="233">
        <v>361.32499999999999</v>
      </c>
      <c r="J22" s="233">
        <v>370.41499999999996</v>
      </c>
      <c r="K22" s="233">
        <v>553.34500000000003</v>
      </c>
      <c r="L22" s="233">
        <v>544.29500000000007</v>
      </c>
      <c r="M22" s="233">
        <v>1911.825</v>
      </c>
      <c r="N22" s="240">
        <v>1943.615</v>
      </c>
      <c r="O22" s="240">
        <v>1968.9200000000003</v>
      </c>
      <c r="P22" s="240">
        <v>1973.4500000000003</v>
      </c>
      <c r="Q22" s="240">
        <v>1942.2499999999998</v>
      </c>
      <c r="R22" s="240">
        <v>1942.2499999999998</v>
      </c>
      <c r="S22" s="233">
        <f>SUM(G22:R22)</f>
        <v>14184.34</v>
      </c>
      <c r="U22" s="242">
        <f t="shared" si="4"/>
        <v>36.999449944994495</v>
      </c>
      <c r="V22" s="242">
        <f t="shared" si="5"/>
        <v>36.999449944994495</v>
      </c>
      <c r="W22" s="242">
        <f t="shared" si="6"/>
        <v>39.749724972497248</v>
      </c>
      <c r="X22" s="242">
        <f t="shared" ref="X22:AB26" si="11">IFERROR(J22/$D22,0)</f>
        <v>40.929834254143643</v>
      </c>
      <c r="Y22" s="242">
        <f t="shared" si="11"/>
        <v>61.143093922651929</v>
      </c>
      <c r="Z22" s="242">
        <f t="shared" si="11"/>
        <v>60.143093922651936</v>
      </c>
      <c r="AA22" s="242">
        <f t="shared" si="11"/>
        <v>211.25138121546959</v>
      </c>
      <c r="AB22" s="242">
        <f t="shared" si="11"/>
        <v>214.76408839779003</v>
      </c>
      <c r="AC22" s="242">
        <f t="shared" si="7"/>
        <v>215.41794310722102</v>
      </c>
      <c r="AD22" s="242">
        <f t="shared" si="8"/>
        <v>215.91356673960615</v>
      </c>
      <c r="AE22" s="242">
        <f t="shared" si="9"/>
        <v>212.49999999999997</v>
      </c>
      <c r="AF22" s="242">
        <f t="shared" si="10"/>
        <v>212.49999999999997</v>
      </c>
      <c r="AG22" s="242">
        <f>IFERROR(AVERAGE(U22:AF22),0)</f>
        <v>129.85930220183505</v>
      </c>
      <c r="AH22" s="242">
        <f>SUM(U22:AF22)</f>
        <v>1558.3116264220207</v>
      </c>
      <c r="AI22" s="242"/>
      <c r="AJ22" s="241">
        <v>1</v>
      </c>
      <c r="AK22" s="243">
        <f t="shared" ref="AK22:AK37" si="12">+AJ22*AG22</f>
        <v>129.85930220183505</v>
      </c>
    </row>
    <row r="23" spans="1:43" s="241" customFormat="1" ht="12.75" x14ac:dyDescent="0.2">
      <c r="A23" s="232" t="s">
        <v>728</v>
      </c>
      <c r="B23" s="232" t="s">
        <v>753</v>
      </c>
      <c r="C23" s="232">
        <v>12.28</v>
      </c>
      <c r="D23" s="232">
        <v>12.22</v>
      </c>
      <c r="E23" s="232">
        <v>12.41</v>
      </c>
      <c r="F23" s="239">
        <v>21</v>
      </c>
      <c r="G23" s="233">
        <v>1313.9599999999998</v>
      </c>
      <c r="H23" s="233">
        <v>1286.3299999999997</v>
      </c>
      <c r="I23" s="233">
        <v>1399.9199999999998</v>
      </c>
      <c r="J23" s="233">
        <v>1427.55</v>
      </c>
      <c r="K23" s="233">
        <v>2355.79</v>
      </c>
      <c r="L23" s="233">
        <v>2346.58</v>
      </c>
      <c r="M23" s="233">
        <v>6863.1149999999998</v>
      </c>
      <c r="N23" s="240">
        <v>6865.2649999999994</v>
      </c>
      <c r="O23" s="240">
        <v>7006.3050000000003</v>
      </c>
      <c r="P23" s="240">
        <v>7017.7750000000005</v>
      </c>
      <c r="Q23" s="240">
        <v>7008.5650000000005</v>
      </c>
      <c r="R23" s="240">
        <v>6924.6750000000011</v>
      </c>
      <c r="S23" s="233">
        <f>SUM(G23:R23)</f>
        <v>51815.83</v>
      </c>
      <c r="U23" s="242">
        <f t="shared" si="4"/>
        <v>106.99999999999999</v>
      </c>
      <c r="V23" s="242">
        <f t="shared" si="5"/>
        <v>104.74999999999999</v>
      </c>
      <c r="W23" s="242">
        <f t="shared" si="6"/>
        <v>114</v>
      </c>
      <c r="X23" s="242">
        <f t="shared" si="11"/>
        <v>116.82078559738133</v>
      </c>
      <c r="Y23" s="242">
        <f t="shared" si="11"/>
        <v>192.78150572831422</v>
      </c>
      <c r="Z23" s="242">
        <f t="shared" si="11"/>
        <v>192.02782324058919</v>
      </c>
      <c r="AA23" s="242">
        <f t="shared" si="11"/>
        <v>561.62970540098195</v>
      </c>
      <c r="AB23" s="242">
        <f t="shared" si="11"/>
        <v>561.80564648117831</v>
      </c>
      <c r="AC23" s="242">
        <f t="shared" si="7"/>
        <v>564.56929895245776</v>
      </c>
      <c r="AD23" s="242">
        <f t="shared" si="8"/>
        <v>565.49355358581795</v>
      </c>
      <c r="AE23" s="242">
        <f t="shared" si="9"/>
        <v>564.75141015310237</v>
      </c>
      <c r="AF23" s="242">
        <f t="shared" si="10"/>
        <v>557.99153908138601</v>
      </c>
      <c r="AG23" s="242">
        <f>IFERROR(AVERAGE(U23:AF23),0)</f>
        <v>350.3017723517674</v>
      </c>
      <c r="AH23" s="242">
        <f>SUM(U23:AF23)</f>
        <v>4203.621268221209</v>
      </c>
      <c r="AI23" s="242"/>
      <c r="AJ23" s="241">
        <v>1</v>
      </c>
      <c r="AK23" s="243">
        <f t="shared" si="12"/>
        <v>350.3017723517674</v>
      </c>
    </row>
    <row r="24" spans="1:43" s="241" customFormat="1" ht="12.75" x14ac:dyDescent="0.2">
      <c r="A24" s="232" t="s">
        <v>736</v>
      </c>
      <c r="B24" s="232" t="s">
        <v>761</v>
      </c>
      <c r="C24" s="232">
        <v>10.52</v>
      </c>
      <c r="D24" s="232">
        <v>10.52</v>
      </c>
      <c r="E24" s="232">
        <v>10.69</v>
      </c>
      <c r="F24" s="239">
        <v>21</v>
      </c>
      <c r="G24" s="233">
        <v>0</v>
      </c>
      <c r="H24" s="233">
        <v>0</v>
      </c>
      <c r="I24" s="233">
        <v>0</v>
      </c>
      <c r="J24" s="233">
        <v>0</v>
      </c>
      <c r="K24" s="233">
        <v>0</v>
      </c>
      <c r="L24" s="233">
        <v>0</v>
      </c>
      <c r="M24" s="233">
        <v>0</v>
      </c>
      <c r="N24" s="240">
        <v>0</v>
      </c>
      <c r="O24" s="240">
        <v>10.605</v>
      </c>
      <c r="P24" s="240">
        <v>10.605</v>
      </c>
      <c r="Q24" s="240">
        <v>10.69</v>
      </c>
      <c r="R24" s="240">
        <v>10.69</v>
      </c>
      <c r="S24" s="233">
        <f>SUM(G24:R24)</f>
        <v>42.589999999999996</v>
      </c>
      <c r="U24" s="242">
        <f t="shared" si="4"/>
        <v>0</v>
      </c>
      <c r="V24" s="242">
        <f t="shared" si="5"/>
        <v>0</v>
      </c>
      <c r="W24" s="242">
        <f t="shared" si="6"/>
        <v>0</v>
      </c>
      <c r="X24" s="242">
        <f t="shared" si="11"/>
        <v>0</v>
      </c>
      <c r="Y24" s="242">
        <f t="shared" si="11"/>
        <v>0</v>
      </c>
      <c r="Z24" s="242">
        <f t="shared" si="11"/>
        <v>0</v>
      </c>
      <c r="AA24" s="242">
        <f t="shared" si="11"/>
        <v>0</v>
      </c>
      <c r="AB24" s="242">
        <f t="shared" si="11"/>
        <v>0</v>
      </c>
      <c r="AC24" s="242">
        <f t="shared" si="7"/>
        <v>0.99204864359214229</v>
      </c>
      <c r="AD24" s="242">
        <f t="shared" si="8"/>
        <v>0.99204864359214229</v>
      </c>
      <c r="AE24" s="242">
        <f t="shared" si="9"/>
        <v>1</v>
      </c>
      <c r="AF24" s="242">
        <f t="shared" si="10"/>
        <v>1</v>
      </c>
      <c r="AG24" s="242">
        <f>IFERROR(AVERAGE(U24:AF24),0)</f>
        <v>0.33200810726535707</v>
      </c>
      <c r="AH24" s="242">
        <f>SUM(U24:AF24)</f>
        <v>3.9840972871842846</v>
      </c>
      <c r="AI24" s="242"/>
      <c r="AJ24" s="241">
        <v>1</v>
      </c>
      <c r="AK24" s="243">
        <f t="shared" si="12"/>
        <v>0.33200810726535707</v>
      </c>
    </row>
    <row r="25" spans="1:43" s="241" customFormat="1" ht="12.75" x14ac:dyDescent="0.2">
      <c r="A25" s="58" t="s">
        <v>1082</v>
      </c>
      <c r="B25" s="58" t="s">
        <v>757</v>
      </c>
      <c r="C25" s="58">
        <v>2.85</v>
      </c>
      <c r="D25" s="296">
        <v>2.835</v>
      </c>
      <c r="E25" s="11">
        <v>2.87</v>
      </c>
      <c r="F25" s="248">
        <v>21</v>
      </c>
      <c r="G25" s="12">
        <v>0</v>
      </c>
      <c r="H25" s="12">
        <v>-5.7</v>
      </c>
      <c r="I25" s="12">
        <v>5.7</v>
      </c>
      <c r="J25" s="12">
        <v>22.8</v>
      </c>
      <c r="K25" s="12">
        <v>5.7</v>
      </c>
      <c r="L25" s="12">
        <v>0</v>
      </c>
      <c r="M25" s="12">
        <v>0</v>
      </c>
      <c r="N25" s="13">
        <v>0</v>
      </c>
      <c r="O25" s="13">
        <v>0</v>
      </c>
      <c r="P25" s="13">
        <v>0</v>
      </c>
      <c r="Q25" s="13">
        <v>0</v>
      </c>
      <c r="R25" s="13">
        <v>0</v>
      </c>
      <c r="S25" s="12">
        <f>SUM(G25:R25)</f>
        <v>28.5</v>
      </c>
      <c r="T25" s="1"/>
      <c r="U25" s="15">
        <f t="shared" ref="U25:U70" si="13">IFERROR(G25/$C25,0)</f>
        <v>0</v>
      </c>
      <c r="V25" s="15">
        <f t="shared" ref="V25:V70" si="14">IFERROR(H25/$C25,0)</f>
        <v>-2</v>
      </c>
      <c r="W25" s="15">
        <f t="shared" ref="W25:W70" si="15">IFERROR(I25/$C25,0)</f>
        <v>2</v>
      </c>
      <c r="X25" s="15">
        <f t="shared" si="11"/>
        <v>8.0423280423280428</v>
      </c>
      <c r="Y25" s="15">
        <f t="shared" si="11"/>
        <v>2.0105820105820107</v>
      </c>
      <c r="Z25" s="15">
        <f t="shared" si="11"/>
        <v>0</v>
      </c>
      <c r="AA25" s="15">
        <f t="shared" si="11"/>
        <v>0</v>
      </c>
      <c r="AB25" s="15">
        <f t="shared" si="11"/>
        <v>0</v>
      </c>
      <c r="AC25" s="15">
        <f t="shared" si="7"/>
        <v>0</v>
      </c>
      <c r="AD25" s="15">
        <f t="shared" si="8"/>
        <v>0</v>
      </c>
      <c r="AE25" s="15">
        <f t="shared" si="9"/>
        <v>0</v>
      </c>
      <c r="AF25" s="15">
        <f t="shared" si="10"/>
        <v>0</v>
      </c>
      <c r="AG25" s="15">
        <f>IFERROR(AVERAGE(U25:AF25),0)</f>
        <v>0.8377425044091712</v>
      </c>
      <c r="AH25" s="15">
        <f>SUM(U25:AF25)</f>
        <v>10.052910052910054</v>
      </c>
      <c r="AI25" s="15"/>
      <c r="AJ25" s="1">
        <v>1</v>
      </c>
      <c r="AK25" s="14">
        <f t="shared" si="12"/>
        <v>0.8377425044091712</v>
      </c>
      <c r="AL25" s="1"/>
      <c r="AM25" s="1"/>
      <c r="AN25" s="1"/>
      <c r="AO25" s="1"/>
      <c r="AP25" s="1"/>
      <c r="AQ25" s="1"/>
    </row>
    <row r="26" spans="1:43" s="241" customFormat="1" ht="12.75" x14ac:dyDescent="0.2">
      <c r="A26" s="232" t="s">
        <v>738</v>
      </c>
      <c r="B26" s="232" t="s">
        <v>763</v>
      </c>
      <c r="C26" s="232">
        <v>15.81</v>
      </c>
      <c r="D26" s="232">
        <v>15.81</v>
      </c>
      <c r="E26" s="238">
        <v>16.13</v>
      </c>
      <c r="F26" s="239">
        <v>21</v>
      </c>
      <c r="G26" s="233">
        <v>13.9</v>
      </c>
      <c r="H26" s="233">
        <v>13.9</v>
      </c>
      <c r="I26" s="233">
        <v>31.78</v>
      </c>
      <c r="J26" s="233">
        <v>27.810000000000002</v>
      </c>
      <c r="K26" s="233">
        <v>15.85</v>
      </c>
      <c r="L26" s="233">
        <v>15.85</v>
      </c>
      <c r="M26" s="233">
        <v>63.24</v>
      </c>
      <c r="N26" s="240">
        <v>63.24</v>
      </c>
      <c r="O26" s="240">
        <v>71.784999999999997</v>
      </c>
      <c r="P26" s="240">
        <v>71.784999999999997</v>
      </c>
      <c r="Q26" s="240">
        <v>64.52</v>
      </c>
      <c r="R26" s="240">
        <v>64.52</v>
      </c>
      <c r="S26" s="233">
        <f>SUM(G26:R26)</f>
        <v>518.17999999999995</v>
      </c>
      <c r="U26" s="242">
        <f t="shared" si="13"/>
        <v>0.87919038583175202</v>
      </c>
      <c r="V26" s="242">
        <f t="shared" si="14"/>
        <v>0.87919038583175202</v>
      </c>
      <c r="W26" s="242">
        <f t="shared" si="15"/>
        <v>2.0101201771030994</v>
      </c>
      <c r="X26" s="242">
        <f t="shared" si="11"/>
        <v>1.7590132827324478</v>
      </c>
      <c r="Y26" s="242">
        <f t="shared" si="11"/>
        <v>1.0025300442757747</v>
      </c>
      <c r="Z26" s="242">
        <f t="shared" si="11"/>
        <v>1.0025300442757747</v>
      </c>
      <c r="AA26" s="242">
        <f t="shared" si="11"/>
        <v>4</v>
      </c>
      <c r="AB26" s="242">
        <f t="shared" si="11"/>
        <v>4</v>
      </c>
      <c r="AC26" s="242">
        <f t="shared" si="7"/>
        <v>4.4504029758214507</v>
      </c>
      <c r="AD26" s="242">
        <f t="shared" si="8"/>
        <v>4.4504029758214507</v>
      </c>
      <c r="AE26" s="242">
        <f t="shared" si="9"/>
        <v>4</v>
      </c>
      <c r="AF26" s="242">
        <f t="shared" si="10"/>
        <v>4</v>
      </c>
      <c r="AG26" s="242">
        <f>IFERROR(AVERAGE(U26:AF26),0)</f>
        <v>2.7027816893077916</v>
      </c>
      <c r="AH26" s="242">
        <f>SUM(U26:AF26)</f>
        <v>32.433380271693501</v>
      </c>
      <c r="AI26" s="242"/>
      <c r="AJ26" s="241">
        <v>1</v>
      </c>
      <c r="AK26" s="243">
        <f t="shared" si="12"/>
        <v>2.7027816893077916</v>
      </c>
    </row>
    <row r="27" spans="1:43" s="241" customFormat="1" ht="12.75" x14ac:dyDescent="0.2">
      <c r="A27" s="232" t="s">
        <v>733</v>
      </c>
      <c r="B27" s="232" t="s">
        <v>758</v>
      </c>
      <c r="C27" s="232">
        <v>10.57</v>
      </c>
      <c r="D27" s="232">
        <v>10.52</v>
      </c>
      <c r="E27" s="238">
        <v>10.69</v>
      </c>
      <c r="F27" s="239">
        <v>21</v>
      </c>
      <c r="G27" s="233">
        <v>26448.469999999998</v>
      </c>
      <c r="H27" s="233">
        <v>26803.819999999996</v>
      </c>
      <c r="I27" s="233">
        <v>27008.879999999997</v>
      </c>
      <c r="J27" s="233">
        <v>26897.019999999997</v>
      </c>
      <c r="K27" s="233">
        <v>29297.65</v>
      </c>
      <c r="L27" s="233">
        <v>29118.450000000004</v>
      </c>
      <c r="M27" s="233">
        <v>83993.694999999992</v>
      </c>
      <c r="N27" s="240">
        <v>83221.035000000003</v>
      </c>
      <c r="O27" s="240">
        <v>84561.27</v>
      </c>
      <c r="P27" s="240">
        <v>83826.009999999995</v>
      </c>
      <c r="Q27" s="240">
        <v>84768.5</v>
      </c>
      <c r="R27" s="240">
        <v>84353.7</v>
      </c>
      <c r="S27" s="233">
        <f t="shared" si="0"/>
        <v>670298.5</v>
      </c>
      <c r="U27" s="242">
        <f t="shared" si="13"/>
        <v>2502.2204351939449</v>
      </c>
      <c r="V27" s="242">
        <f t="shared" si="14"/>
        <v>2535.8391674550612</v>
      </c>
      <c r="W27" s="242">
        <f t="shared" si="15"/>
        <v>2555.2393566698202</v>
      </c>
      <c r="X27" s="242">
        <f t="shared" si="1"/>
        <v>2556.750950570342</v>
      </c>
      <c r="Y27" s="242">
        <f t="shared" si="1"/>
        <v>2784.9477186311788</v>
      </c>
      <c r="Z27" s="242">
        <f t="shared" si="1"/>
        <v>2767.9134980988597</v>
      </c>
      <c r="AA27" s="242">
        <f t="shared" si="1"/>
        <v>7984.1915399239542</v>
      </c>
      <c r="AB27" s="242">
        <f t="shared" si="1"/>
        <v>7910.7447718631183</v>
      </c>
      <c r="AC27" s="242">
        <f t="shared" si="7"/>
        <v>7910.3152478952297</v>
      </c>
      <c r="AD27" s="242">
        <f t="shared" si="8"/>
        <v>7841.5350795135637</v>
      </c>
      <c r="AE27" s="242">
        <f t="shared" si="9"/>
        <v>7929.7006548175868</v>
      </c>
      <c r="AF27" s="242">
        <f t="shared" si="10"/>
        <v>7890.8980355472404</v>
      </c>
      <c r="AG27" s="242">
        <f t="shared" si="2"/>
        <v>5264.1913713483245</v>
      </c>
      <c r="AH27" s="242">
        <f t="shared" si="3"/>
        <v>63170.296456179894</v>
      </c>
      <c r="AI27" s="242"/>
      <c r="AJ27" s="241">
        <v>1</v>
      </c>
      <c r="AK27" s="243">
        <f t="shared" si="12"/>
        <v>5264.1913713483245</v>
      </c>
    </row>
    <row r="28" spans="1:43" s="241" customFormat="1" ht="12.75" x14ac:dyDescent="0.2">
      <c r="A28" s="232" t="s">
        <v>734</v>
      </c>
      <c r="B28" s="232" t="s">
        <v>759</v>
      </c>
      <c r="C28" s="232">
        <v>5.7</v>
      </c>
      <c r="D28" s="232">
        <v>5.67</v>
      </c>
      <c r="E28" s="238">
        <v>5.74</v>
      </c>
      <c r="F28" s="239">
        <v>21</v>
      </c>
      <c r="G28" s="233">
        <v>2174.5499999999997</v>
      </c>
      <c r="H28" s="233">
        <v>2192.75</v>
      </c>
      <c r="I28" s="233">
        <v>2197.35</v>
      </c>
      <c r="J28" s="233">
        <v>2180.25</v>
      </c>
      <c r="K28" s="233">
        <v>2535.6950000000002</v>
      </c>
      <c r="L28" s="233">
        <v>2518.6849999999999</v>
      </c>
      <c r="M28" s="233">
        <v>7293.0550000000003</v>
      </c>
      <c r="N28" s="240">
        <v>7270.4050000000007</v>
      </c>
      <c r="O28" s="240">
        <v>7398.8450000000012</v>
      </c>
      <c r="P28" s="240">
        <v>7290.0349999999999</v>
      </c>
      <c r="Q28" s="240">
        <v>7460.42</v>
      </c>
      <c r="R28" s="240">
        <v>7403.02</v>
      </c>
      <c r="S28" s="233">
        <f t="shared" si="0"/>
        <v>57915.06</v>
      </c>
      <c r="U28" s="242">
        <f t="shared" si="13"/>
        <v>381.49999999999994</v>
      </c>
      <c r="V28" s="242">
        <f t="shared" si="14"/>
        <v>384.69298245614033</v>
      </c>
      <c r="W28" s="242">
        <f t="shared" si="15"/>
        <v>385.5</v>
      </c>
      <c r="X28" s="242">
        <f t="shared" si="1"/>
        <v>384.52380952380952</v>
      </c>
      <c r="Y28" s="242">
        <f t="shared" si="1"/>
        <v>447.21252204585539</v>
      </c>
      <c r="Z28" s="242">
        <f t="shared" si="1"/>
        <v>444.21252204585539</v>
      </c>
      <c r="AA28" s="242">
        <f t="shared" si="1"/>
        <v>1286.2530864197531</v>
      </c>
      <c r="AB28" s="242">
        <f t="shared" si="1"/>
        <v>1282.2583774250443</v>
      </c>
      <c r="AC28" s="242">
        <f t="shared" si="7"/>
        <v>1288.997386759582</v>
      </c>
      <c r="AD28" s="242">
        <f t="shared" si="8"/>
        <v>1270.0409407665504</v>
      </c>
      <c r="AE28" s="242">
        <f t="shared" si="9"/>
        <v>1299.7247386759582</v>
      </c>
      <c r="AF28" s="242">
        <f t="shared" si="10"/>
        <v>1289.7247386759582</v>
      </c>
      <c r="AG28" s="242">
        <f t="shared" si="2"/>
        <v>845.38675873287559</v>
      </c>
      <c r="AH28" s="242">
        <f t="shared" si="3"/>
        <v>10144.641104794508</v>
      </c>
      <c r="AI28" s="242"/>
      <c r="AJ28" s="241">
        <v>1</v>
      </c>
      <c r="AK28" s="243">
        <f t="shared" si="12"/>
        <v>845.38675873287559</v>
      </c>
    </row>
    <row r="29" spans="1:43" s="241" customFormat="1" ht="12.75" x14ac:dyDescent="0.2">
      <c r="A29" s="232" t="s">
        <v>746</v>
      </c>
      <c r="B29" s="232" t="s">
        <v>771</v>
      </c>
      <c r="C29" s="232">
        <v>21.06</v>
      </c>
      <c r="D29" s="232">
        <v>21.04</v>
      </c>
      <c r="E29" s="238">
        <v>21.38</v>
      </c>
      <c r="F29" s="239">
        <v>21</v>
      </c>
      <c r="G29" s="233">
        <v>42.12</v>
      </c>
      <c r="H29" s="233">
        <v>0</v>
      </c>
      <c r="I29" s="233">
        <v>36.854999999999997</v>
      </c>
      <c r="J29" s="233">
        <v>36.854999999999997</v>
      </c>
      <c r="K29" s="233">
        <v>173.75</v>
      </c>
      <c r="L29" s="233">
        <v>57.960000000000008</v>
      </c>
      <c r="M29" s="233">
        <v>178.84</v>
      </c>
      <c r="N29" s="240">
        <v>178.84</v>
      </c>
      <c r="O29" s="240">
        <v>190.89000000000001</v>
      </c>
      <c r="P29" s="240">
        <v>190.89000000000001</v>
      </c>
      <c r="Q29" s="240">
        <v>192.42000000000002</v>
      </c>
      <c r="R29" s="240">
        <v>192.42000000000002</v>
      </c>
      <c r="S29" s="233">
        <f t="shared" ref="S29:S34" si="16">SUM(G29:R29)</f>
        <v>1471.8400000000001</v>
      </c>
      <c r="U29" s="242">
        <f t="shared" si="13"/>
        <v>2</v>
      </c>
      <c r="V29" s="242">
        <f t="shared" si="14"/>
        <v>0</v>
      </c>
      <c r="W29" s="242">
        <f t="shared" si="15"/>
        <v>1.75</v>
      </c>
      <c r="X29" s="242">
        <f t="shared" ref="X29:X34" si="17">IFERROR(J29/$D29,0)</f>
        <v>1.7516634980988592</v>
      </c>
      <c r="Y29" s="242">
        <f t="shared" ref="Y29:Y34" si="18">IFERROR(K29/$D29,0)</f>
        <v>8.2580798479087463</v>
      </c>
      <c r="Z29" s="242">
        <f t="shared" ref="Z29:Z34" si="19">IFERROR(L29/$D29,0)</f>
        <v>2.7547528517110269</v>
      </c>
      <c r="AA29" s="242">
        <f t="shared" ref="AA29:AA34" si="20">IFERROR(M29/$D29,0)</f>
        <v>8.5</v>
      </c>
      <c r="AB29" s="242">
        <f t="shared" ref="AB29:AB34" si="21">IFERROR(N29/$D29,0)</f>
        <v>8.5</v>
      </c>
      <c r="AC29" s="242">
        <f t="shared" si="7"/>
        <v>8.9284377923292801</v>
      </c>
      <c r="AD29" s="242">
        <f t="shared" si="8"/>
        <v>8.9284377923292801</v>
      </c>
      <c r="AE29" s="242">
        <f t="shared" si="9"/>
        <v>9.0000000000000018</v>
      </c>
      <c r="AF29" s="242">
        <f t="shared" si="10"/>
        <v>9.0000000000000018</v>
      </c>
      <c r="AG29" s="242">
        <f t="shared" ref="AG29:AG34" si="22">IFERROR(AVERAGE(U29:AF29),0)</f>
        <v>5.7809476485314315</v>
      </c>
      <c r="AH29" s="242">
        <f t="shared" ref="AH29:AH34" si="23">SUM(U29:AF29)</f>
        <v>69.371371782377182</v>
      </c>
      <c r="AI29" s="242"/>
      <c r="AJ29" s="241">
        <v>1</v>
      </c>
      <c r="AK29" s="243">
        <f t="shared" si="12"/>
        <v>5.7809476485314315</v>
      </c>
    </row>
    <row r="30" spans="1:43" s="241" customFormat="1" ht="12.75" x14ac:dyDescent="0.2">
      <c r="A30" s="232" t="s">
        <v>1066</v>
      </c>
      <c r="B30" s="232" t="s">
        <v>1067</v>
      </c>
      <c r="C30" s="238">
        <v>14.59</v>
      </c>
      <c r="D30" s="238">
        <v>14.59</v>
      </c>
      <c r="E30" s="238">
        <v>14.51</v>
      </c>
      <c r="F30" s="239">
        <v>37</v>
      </c>
      <c r="G30" s="233">
        <v>145.9</v>
      </c>
      <c r="H30" s="233">
        <v>145.9</v>
      </c>
      <c r="I30" s="233">
        <v>145.9</v>
      </c>
      <c r="J30" s="233">
        <v>262.44</v>
      </c>
      <c r="K30" s="233">
        <v>510.65</v>
      </c>
      <c r="L30" s="233">
        <v>507.85</v>
      </c>
      <c r="M30" s="240">
        <v>14111.87</v>
      </c>
      <c r="N30" s="240">
        <v>15000.11</v>
      </c>
      <c r="O30" s="240">
        <v>15000.11</v>
      </c>
      <c r="P30" s="240">
        <v>15171.75</v>
      </c>
      <c r="Q30" s="240">
        <v>15171.75</v>
      </c>
      <c r="R30" s="240">
        <v>15171.75</v>
      </c>
      <c r="S30" s="233">
        <f>SUM(G30:R30)</f>
        <v>91345.98000000001</v>
      </c>
      <c r="U30" s="240">
        <f t="shared" si="13"/>
        <v>10</v>
      </c>
      <c r="V30" s="240">
        <f t="shared" si="14"/>
        <v>10</v>
      </c>
      <c r="W30" s="240">
        <f t="shared" si="15"/>
        <v>10</v>
      </c>
      <c r="X30" s="240">
        <f t="shared" ref="X30:AB32" si="24">IFERROR(J30/$D30,0)</f>
        <v>17.987662782727895</v>
      </c>
      <c r="Y30" s="240">
        <f t="shared" si="24"/>
        <v>35</v>
      </c>
      <c r="Z30" s="240">
        <f t="shared" si="24"/>
        <v>34.808087731322829</v>
      </c>
      <c r="AA30" s="240">
        <f t="shared" si="24"/>
        <v>967.22892392049357</v>
      </c>
      <c r="AB30" s="240">
        <f t="shared" si="24"/>
        <v>1028.1089787525702</v>
      </c>
      <c r="AC30" s="240">
        <f>IFERROR(O30/$E30,0)</f>
        <v>1033.7773949000689</v>
      </c>
      <c r="AD30" s="240">
        <f t="shared" si="8"/>
        <v>1045.6064782908338</v>
      </c>
      <c r="AE30" s="240">
        <f t="shared" si="9"/>
        <v>1045.6064782908338</v>
      </c>
      <c r="AF30" s="240">
        <f t="shared" si="10"/>
        <v>1045.6064782908338</v>
      </c>
      <c r="AG30" s="242">
        <f>IFERROR(AVERAGE(U30:AF30),0)</f>
        <v>523.64420691330713</v>
      </c>
      <c r="AH30" s="242">
        <f>SUM(U30:AF30)</f>
        <v>6283.7304829596851</v>
      </c>
      <c r="AI30" s="240"/>
      <c r="AL30" s="241">
        <v>1</v>
      </c>
      <c r="AM30" s="243">
        <f>+AL30*AG30</f>
        <v>523.64420691330713</v>
      </c>
    </row>
    <row r="31" spans="1:43" s="241" customFormat="1" ht="12.75" x14ac:dyDescent="0.2">
      <c r="A31" s="232" t="s">
        <v>1242</v>
      </c>
      <c r="B31" s="232" t="s">
        <v>1243</v>
      </c>
      <c r="C31" s="238">
        <v>36.94</v>
      </c>
      <c r="D31" s="238">
        <v>36.94</v>
      </c>
      <c r="E31" s="238">
        <v>36.74</v>
      </c>
      <c r="F31" s="239">
        <v>37</v>
      </c>
      <c r="G31" s="233">
        <v>0</v>
      </c>
      <c r="H31" s="233">
        <v>0</v>
      </c>
      <c r="I31" s="233">
        <v>0</v>
      </c>
      <c r="J31" s="233">
        <v>0</v>
      </c>
      <c r="K31" s="233">
        <v>0</v>
      </c>
      <c r="L31" s="233">
        <v>0</v>
      </c>
      <c r="M31" s="240">
        <v>5341.81</v>
      </c>
      <c r="N31" s="240">
        <v>5364.04</v>
      </c>
      <c r="O31" s="240">
        <v>5364.04</v>
      </c>
      <c r="P31" s="240">
        <v>5416.6</v>
      </c>
      <c r="Q31" s="240">
        <v>5416.6</v>
      </c>
      <c r="R31" s="240">
        <v>5416.6</v>
      </c>
      <c r="S31" s="233">
        <f>SUM(G31:R31)</f>
        <v>32319.689999999995</v>
      </c>
      <c r="U31" s="240">
        <f t="shared" si="13"/>
        <v>0</v>
      </c>
      <c r="V31" s="240">
        <f t="shared" si="14"/>
        <v>0</v>
      </c>
      <c r="W31" s="240">
        <f t="shared" si="15"/>
        <v>0</v>
      </c>
      <c r="X31" s="240">
        <f t="shared" si="24"/>
        <v>0</v>
      </c>
      <c r="Y31" s="240">
        <f t="shared" si="24"/>
        <v>0</v>
      </c>
      <c r="Z31" s="240">
        <f t="shared" si="24"/>
        <v>0</v>
      </c>
      <c r="AA31" s="240">
        <f t="shared" si="24"/>
        <v>144.60774228478616</v>
      </c>
      <c r="AB31" s="240">
        <f t="shared" si="24"/>
        <v>145.20952896589066</v>
      </c>
      <c r="AC31" s="240">
        <f>IFERROR(O31/$E31,0)</f>
        <v>146</v>
      </c>
      <c r="AD31" s="240">
        <f t="shared" si="8"/>
        <v>147.43059335873707</v>
      </c>
      <c r="AE31" s="240">
        <f t="shared" si="9"/>
        <v>147.43059335873707</v>
      </c>
      <c r="AF31" s="240">
        <f t="shared" si="10"/>
        <v>147.43059335873707</v>
      </c>
      <c r="AG31" s="242">
        <f>IFERROR(AVERAGE(U31:AF31),0)</f>
        <v>73.175754277240671</v>
      </c>
      <c r="AH31" s="242">
        <f>SUM(U31:AF31)</f>
        <v>878.10905132688799</v>
      </c>
      <c r="AI31" s="240"/>
      <c r="AL31" s="241">
        <v>1</v>
      </c>
      <c r="AM31" s="243">
        <f>+AL31*AG31</f>
        <v>73.175754277240671</v>
      </c>
    </row>
    <row r="32" spans="1:43" s="241" customFormat="1" ht="12.75" x14ac:dyDescent="0.2">
      <c r="A32" s="232" t="s">
        <v>1246</v>
      </c>
      <c r="B32" s="232" t="s">
        <v>1247</v>
      </c>
      <c r="C32" s="238">
        <v>45.38</v>
      </c>
      <c r="D32" s="238">
        <v>45.38</v>
      </c>
      <c r="E32" s="238">
        <v>45.13</v>
      </c>
      <c r="F32" s="239">
        <v>37</v>
      </c>
      <c r="G32" s="233">
        <v>0</v>
      </c>
      <c r="H32" s="233">
        <v>0</v>
      </c>
      <c r="I32" s="233">
        <v>0</v>
      </c>
      <c r="J32" s="233">
        <v>0</v>
      </c>
      <c r="K32" s="233">
        <v>0</v>
      </c>
      <c r="L32" s="233">
        <v>1566.72</v>
      </c>
      <c r="M32" s="240">
        <v>180.52</v>
      </c>
      <c r="N32" s="240">
        <v>180.52</v>
      </c>
      <c r="O32" s="240">
        <v>180.52</v>
      </c>
      <c r="P32" s="240">
        <v>182.2</v>
      </c>
      <c r="Q32" s="240">
        <v>182.2</v>
      </c>
      <c r="R32" s="240">
        <v>182.2</v>
      </c>
      <c r="S32" s="233">
        <f>SUM(G32:R32)</f>
        <v>2654.8799999999997</v>
      </c>
      <c r="U32" s="240">
        <f t="shared" si="13"/>
        <v>0</v>
      </c>
      <c r="V32" s="240">
        <f t="shared" si="14"/>
        <v>0</v>
      </c>
      <c r="W32" s="240">
        <f t="shared" si="15"/>
        <v>0</v>
      </c>
      <c r="X32" s="240">
        <f t="shared" si="24"/>
        <v>0</v>
      </c>
      <c r="Y32" s="240">
        <f t="shared" si="24"/>
        <v>0</v>
      </c>
      <c r="Z32" s="240">
        <f t="shared" si="24"/>
        <v>34.524460114587924</v>
      </c>
      <c r="AA32" s="240">
        <f t="shared" si="24"/>
        <v>3.9779638607315997</v>
      </c>
      <c r="AB32" s="240">
        <f t="shared" si="24"/>
        <v>3.9779638607315997</v>
      </c>
      <c r="AC32" s="240">
        <f>IFERROR(O32/$E32,0)</f>
        <v>4</v>
      </c>
      <c r="AD32" s="240">
        <f t="shared" si="8"/>
        <v>4.0372257921559935</v>
      </c>
      <c r="AE32" s="240">
        <f t="shared" si="9"/>
        <v>4.0372257921559935</v>
      </c>
      <c r="AF32" s="240">
        <f t="shared" si="10"/>
        <v>4.0372257921559935</v>
      </c>
      <c r="AG32" s="242">
        <f>IFERROR(AVERAGE(U32:AF32),0)</f>
        <v>4.8826721010432586</v>
      </c>
      <c r="AH32" s="242">
        <f>SUM(U32:AF32)</f>
        <v>58.592065212519103</v>
      </c>
      <c r="AI32" s="240"/>
      <c r="AL32" s="241">
        <v>1</v>
      </c>
      <c r="AM32" s="243">
        <f>+AL32*AG32</f>
        <v>4.8826721010432586</v>
      </c>
    </row>
    <row r="33" spans="1:37" s="241" customFormat="1" ht="12.75" x14ac:dyDescent="0.2">
      <c r="A33" s="232" t="s">
        <v>741</v>
      </c>
      <c r="B33" s="232" t="s">
        <v>766</v>
      </c>
      <c r="C33" s="232">
        <v>46.3</v>
      </c>
      <c r="D33" s="232">
        <v>46.08</v>
      </c>
      <c r="E33" s="238">
        <v>47.04</v>
      </c>
      <c r="F33" s="239">
        <v>21</v>
      </c>
      <c r="G33" s="233">
        <v>0</v>
      </c>
      <c r="H33" s="233">
        <v>0</v>
      </c>
      <c r="I33" s="233">
        <v>0</v>
      </c>
      <c r="J33" s="233">
        <v>0</v>
      </c>
      <c r="K33" s="233">
        <v>219.48</v>
      </c>
      <c r="L33" s="233">
        <v>219.48</v>
      </c>
      <c r="M33" s="233">
        <v>0</v>
      </c>
      <c r="N33" s="240">
        <v>0</v>
      </c>
      <c r="O33" s="240">
        <v>121.92</v>
      </c>
      <c r="P33" s="240">
        <v>121.92</v>
      </c>
      <c r="Q33" s="240">
        <v>141.12</v>
      </c>
      <c r="R33" s="240">
        <v>141.12</v>
      </c>
      <c r="S33" s="233">
        <f t="shared" si="16"/>
        <v>965.04</v>
      </c>
      <c r="U33" s="242">
        <f t="shared" si="13"/>
        <v>0</v>
      </c>
      <c r="V33" s="242">
        <f t="shared" si="14"/>
        <v>0</v>
      </c>
      <c r="W33" s="242">
        <f t="shared" si="15"/>
        <v>0</v>
      </c>
      <c r="X33" s="242">
        <f t="shared" si="17"/>
        <v>0</v>
      </c>
      <c r="Y33" s="242">
        <f t="shared" si="18"/>
        <v>4.763020833333333</v>
      </c>
      <c r="Z33" s="242">
        <f t="shared" si="19"/>
        <v>4.763020833333333</v>
      </c>
      <c r="AA33" s="242">
        <f t="shared" si="20"/>
        <v>0</v>
      </c>
      <c r="AB33" s="242">
        <f t="shared" si="21"/>
        <v>0</v>
      </c>
      <c r="AC33" s="242">
        <f t="shared" si="7"/>
        <v>2.5918367346938775</v>
      </c>
      <c r="AD33" s="242">
        <f t="shared" si="8"/>
        <v>2.5918367346938775</v>
      </c>
      <c r="AE33" s="242">
        <f t="shared" si="9"/>
        <v>3</v>
      </c>
      <c r="AF33" s="242">
        <f t="shared" si="10"/>
        <v>3</v>
      </c>
      <c r="AG33" s="242">
        <f t="shared" si="22"/>
        <v>1.7258095946712018</v>
      </c>
      <c r="AH33" s="242">
        <f t="shared" si="23"/>
        <v>20.70971513605442</v>
      </c>
      <c r="AI33" s="242"/>
      <c r="AJ33" s="241">
        <v>1</v>
      </c>
      <c r="AK33" s="243">
        <f t="shared" si="12"/>
        <v>1.7258095946712018</v>
      </c>
    </row>
    <row r="34" spans="1:37" s="241" customFormat="1" ht="12.75" x14ac:dyDescent="0.2">
      <c r="A34" s="232" t="s">
        <v>744</v>
      </c>
      <c r="B34" s="232" t="s">
        <v>769</v>
      </c>
      <c r="C34" s="232">
        <v>23.04</v>
      </c>
      <c r="D34" s="232">
        <v>23.04</v>
      </c>
      <c r="E34" s="238">
        <v>23.52</v>
      </c>
      <c r="F34" s="239">
        <v>21</v>
      </c>
      <c r="G34" s="233">
        <v>0</v>
      </c>
      <c r="H34" s="233">
        <v>0</v>
      </c>
      <c r="I34" s="233">
        <v>0</v>
      </c>
      <c r="J34" s="233">
        <v>0</v>
      </c>
      <c r="K34" s="233">
        <v>0</v>
      </c>
      <c r="L34" s="233">
        <v>0</v>
      </c>
      <c r="M34" s="233">
        <v>23.04</v>
      </c>
      <c r="N34" s="240">
        <v>23.04</v>
      </c>
      <c r="O34" s="240">
        <v>23.28</v>
      </c>
      <c r="P34" s="240">
        <v>23.28</v>
      </c>
      <c r="Q34" s="240">
        <v>23.52</v>
      </c>
      <c r="R34" s="240">
        <v>23.52</v>
      </c>
      <c r="S34" s="233">
        <f t="shared" si="16"/>
        <v>139.68</v>
      </c>
      <c r="U34" s="242">
        <f t="shared" si="13"/>
        <v>0</v>
      </c>
      <c r="V34" s="242">
        <f t="shared" si="14"/>
        <v>0</v>
      </c>
      <c r="W34" s="242">
        <f t="shared" si="15"/>
        <v>0</v>
      </c>
      <c r="X34" s="242">
        <f t="shared" si="17"/>
        <v>0</v>
      </c>
      <c r="Y34" s="242">
        <f t="shared" si="18"/>
        <v>0</v>
      </c>
      <c r="Z34" s="242">
        <f t="shared" si="19"/>
        <v>0</v>
      </c>
      <c r="AA34" s="242">
        <f t="shared" si="20"/>
        <v>1</v>
      </c>
      <c r="AB34" s="242">
        <f t="shared" si="21"/>
        <v>1</v>
      </c>
      <c r="AC34" s="242">
        <f t="shared" si="7"/>
        <v>0.98979591836734704</v>
      </c>
      <c r="AD34" s="242">
        <f t="shared" si="8"/>
        <v>0.98979591836734704</v>
      </c>
      <c r="AE34" s="242">
        <f t="shared" si="9"/>
        <v>1</v>
      </c>
      <c r="AF34" s="242">
        <f t="shared" si="10"/>
        <v>1</v>
      </c>
      <c r="AG34" s="242">
        <f t="shared" si="22"/>
        <v>0.49829931972789115</v>
      </c>
      <c r="AH34" s="242">
        <f t="shared" si="23"/>
        <v>5.9795918367346941</v>
      </c>
      <c r="AI34" s="242"/>
      <c r="AJ34" s="241">
        <v>1</v>
      </c>
      <c r="AK34" s="243">
        <f t="shared" si="12"/>
        <v>0.49829931972789115</v>
      </c>
    </row>
    <row r="35" spans="1:37" s="241" customFormat="1" ht="12.75" x14ac:dyDescent="0.2">
      <c r="A35" s="232" t="s">
        <v>735</v>
      </c>
      <c r="B35" s="232" t="s">
        <v>760</v>
      </c>
      <c r="C35" s="232">
        <v>15.89</v>
      </c>
      <c r="D35" s="232">
        <v>15.809999999999999</v>
      </c>
      <c r="E35" s="238">
        <v>16.13</v>
      </c>
      <c r="F35" s="239">
        <v>21</v>
      </c>
      <c r="G35" s="233">
        <v>214027.09</v>
      </c>
      <c r="H35" s="233">
        <v>212381.16999999998</v>
      </c>
      <c r="I35" s="233">
        <v>213997.84999999995</v>
      </c>
      <c r="J35" s="233">
        <v>213446.59</v>
      </c>
      <c r="K35" s="233">
        <v>230026.48500000004</v>
      </c>
      <c r="L35" s="233">
        <v>229470.595</v>
      </c>
      <c r="M35" s="233">
        <v>706024.03</v>
      </c>
      <c r="N35" s="240">
        <v>701600.07500000007</v>
      </c>
      <c r="O35" s="240">
        <v>702424.82</v>
      </c>
      <c r="P35" s="240">
        <v>697755.32500000007</v>
      </c>
      <c r="Q35" s="240">
        <v>699138.15500000014</v>
      </c>
      <c r="R35" s="240">
        <v>695281.12500000012</v>
      </c>
      <c r="S35" s="233">
        <f t="shared" si="0"/>
        <v>5515573.3100000005</v>
      </c>
      <c r="U35" s="242">
        <f t="shared" si="13"/>
        <v>13469.2945248584</v>
      </c>
      <c r="V35" s="242">
        <f t="shared" si="14"/>
        <v>13365.712397734422</v>
      </c>
      <c r="W35" s="242">
        <f t="shared" si="15"/>
        <v>13467.454373820008</v>
      </c>
      <c r="X35" s="242">
        <f t="shared" ref="X35:AB37" si="25">IFERROR(J35/$D35,0)</f>
        <v>13500.733080328906</v>
      </c>
      <c r="Y35" s="242">
        <f t="shared" si="25"/>
        <v>14549.429791271352</v>
      </c>
      <c r="Z35" s="242">
        <f t="shared" si="25"/>
        <v>14514.269133459837</v>
      </c>
      <c r="AA35" s="242">
        <f t="shared" si="25"/>
        <v>44656.801391524357</v>
      </c>
      <c r="AB35" s="242">
        <f t="shared" si="25"/>
        <v>44376.981340923478</v>
      </c>
      <c r="AC35" s="242">
        <f t="shared" si="7"/>
        <v>43547.725976441412</v>
      </c>
      <c r="AD35" s="242">
        <f t="shared" si="8"/>
        <v>43258.234655920649</v>
      </c>
      <c r="AE35" s="242">
        <f t="shared" si="9"/>
        <v>43343.964972101683</v>
      </c>
      <c r="AF35" s="242">
        <f t="shared" si="10"/>
        <v>43104.843459392447</v>
      </c>
      <c r="AG35" s="242">
        <f t="shared" si="2"/>
        <v>28762.95375814808</v>
      </c>
      <c r="AH35" s="242">
        <f t="shared" si="3"/>
        <v>345155.44509777694</v>
      </c>
      <c r="AI35" s="242"/>
      <c r="AJ35" s="241">
        <v>1</v>
      </c>
      <c r="AK35" s="243">
        <f t="shared" si="12"/>
        <v>28762.95375814808</v>
      </c>
    </row>
    <row r="36" spans="1:37" s="241" customFormat="1" ht="12.75" x14ac:dyDescent="0.2">
      <c r="A36" s="232" t="s">
        <v>742</v>
      </c>
      <c r="B36" s="232" t="s">
        <v>767</v>
      </c>
      <c r="C36" s="238">
        <v>23.15</v>
      </c>
      <c r="D36" s="238">
        <v>23.04</v>
      </c>
      <c r="E36" s="238">
        <v>23.52</v>
      </c>
      <c r="F36" s="239">
        <v>21</v>
      </c>
      <c r="G36" s="233">
        <v>163013.09000000003</v>
      </c>
      <c r="H36" s="233">
        <v>162254.48000000001</v>
      </c>
      <c r="I36" s="233">
        <v>166135.25</v>
      </c>
      <c r="J36" s="233">
        <v>165421.12000000002</v>
      </c>
      <c r="K36" s="233">
        <v>227548.88499999998</v>
      </c>
      <c r="L36" s="233">
        <v>225168.91499999998</v>
      </c>
      <c r="M36" s="233">
        <v>438696.42499999999</v>
      </c>
      <c r="N36" s="240">
        <v>435583.185</v>
      </c>
      <c r="O36" s="240">
        <v>455036.62</v>
      </c>
      <c r="P36" s="240">
        <v>453023.32999999996</v>
      </c>
      <c r="Q36" s="240">
        <v>470951.87000000005</v>
      </c>
      <c r="R36" s="240">
        <v>469918.40500000003</v>
      </c>
      <c r="S36" s="233">
        <f t="shared" si="0"/>
        <v>3832751.5750000002</v>
      </c>
      <c r="U36" s="242">
        <f t="shared" si="13"/>
        <v>7041.6021598272155</v>
      </c>
      <c r="V36" s="242">
        <f t="shared" si="14"/>
        <v>7008.8328293736513</v>
      </c>
      <c r="W36" s="242">
        <f t="shared" si="15"/>
        <v>7176.4686825053996</v>
      </c>
      <c r="X36" s="242">
        <f t="shared" si="25"/>
        <v>7179.7361111111122</v>
      </c>
      <c r="Y36" s="242">
        <f t="shared" si="25"/>
        <v>9876.2536892361113</v>
      </c>
      <c r="Z36" s="242">
        <f t="shared" si="25"/>
        <v>9772.9563802083321</v>
      </c>
      <c r="AA36" s="242">
        <f t="shared" si="25"/>
        <v>19040.643446180555</v>
      </c>
      <c r="AB36" s="242">
        <f t="shared" si="25"/>
        <v>18905.520182291668</v>
      </c>
      <c r="AC36" s="242">
        <f t="shared" si="7"/>
        <v>19346.795068027212</v>
      </c>
      <c r="AD36" s="242">
        <f t="shared" si="8"/>
        <v>19261.196003401357</v>
      </c>
      <c r="AE36" s="242">
        <f t="shared" si="9"/>
        <v>20023.46386054422</v>
      </c>
      <c r="AF36" s="242">
        <f t="shared" si="10"/>
        <v>19979.524022108846</v>
      </c>
      <c r="AG36" s="242">
        <f t="shared" si="2"/>
        <v>13717.749369567973</v>
      </c>
      <c r="AH36" s="242">
        <f t="shared" si="3"/>
        <v>164612.99243481568</v>
      </c>
      <c r="AI36" s="242"/>
      <c r="AJ36" s="241">
        <v>1</v>
      </c>
      <c r="AK36" s="243">
        <f t="shared" si="12"/>
        <v>13717.749369567973</v>
      </c>
    </row>
    <row r="37" spans="1:37" s="241" customFormat="1" ht="12.75" x14ac:dyDescent="0.2">
      <c r="A37" s="232" t="s">
        <v>748</v>
      </c>
      <c r="B37" s="232" t="s">
        <v>773</v>
      </c>
      <c r="C37" s="238">
        <v>34.369999999999997</v>
      </c>
      <c r="D37" s="238">
        <v>34.200000000000003</v>
      </c>
      <c r="E37" s="238">
        <v>34.92</v>
      </c>
      <c r="F37" s="239">
        <v>21</v>
      </c>
      <c r="G37" s="233">
        <v>53346.345000000001</v>
      </c>
      <c r="H37" s="233">
        <v>53054.185000000005</v>
      </c>
      <c r="I37" s="233">
        <v>55769.344999999994</v>
      </c>
      <c r="J37" s="233">
        <v>55898.404999999992</v>
      </c>
      <c r="K37" s="233">
        <v>98524.589999999982</v>
      </c>
      <c r="L37" s="233">
        <v>98040.329999999987</v>
      </c>
      <c r="M37" s="233">
        <v>139513.50499999998</v>
      </c>
      <c r="N37" s="240">
        <v>138334.375</v>
      </c>
      <c r="O37" s="240">
        <v>144391.20500000002</v>
      </c>
      <c r="P37" s="240">
        <v>143883.70500000002</v>
      </c>
      <c r="Q37" s="240">
        <v>154380.45999999996</v>
      </c>
      <c r="R37" s="240">
        <v>153856.89999999997</v>
      </c>
      <c r="S37" s="233">
        <f t="shared" si="0"/>
        <v>1288993.3499999999</v>
      </c>
      <c r="U37" s="242">
        <f t="shared" si="13"/>
        <v>1552.1194355542625</v>
      </c>
      <c r="V37" s="242">
        <f t="shared" si="14"/>
        <v>1543.618999127146</v>
      </c>
      <c r="W37" s="242">
        <f t="shared" si="15"/>
        <v>1622.616962467268</v>
      </c>
      <c r="X37" s="242">
        <f t="shared" si="25"/>
        <v>1634.4562865497073</v>
      </c>
      <c r="Y37" s="242">
        <f t="shared" si="25"/>
        <v>2880.8359649122799</v>
      </c>
      <c r="Z37" s="242">
        <f t="shared" si="25"/>
        <v>2866.6763157894729</v>
      </c>
      <c r="AA37" s="242">
        <f t="shared" si="25"/>
        <v>4079.3422514619874</v>
      </c>
      <c r="AB37" s="242">
        <f t="shared" si="25"/>
        <v>4044.864766081871</v>
      </c>
      <c r="AC37" s="242">
        <f t="shared" si="7"/>
        <v>4134.9142325315006</v>
      </c>
      <c r="AD37" s="242">
        <f t="shared" si="8"/>
        <v>4120.3810137457049</v>
      </c>
      <c r="AE37" s="242">
        <f t="shared" si="9"/>
        <v>4420.9753722794949</v>
      </c>
      <c r="AF37" s="242">
        <f t="shared" si="10"/>
        <v>4405.9822451317286</v>
      </c>
      <c r="AG37" s="242">
        <f t="shared" si="2"/>
        <v>3108.898653802702</v>
      </c>
      <c r="AH37" s="242">
        <f t="shared" si="3"/>
        <v>37306.783845632424</v>
      </c>
      <c r="AI37" s="242"/>
      <c r="AJ37" s="241">
        <v>1</v>
      </c>
      <c r="AK37" s="243">
        <f t="shared" si="12"/>
        <v>3108.898653802702</v>
      </c>
    </row>
    <row r="38" spans="1:37" ht="12.75" x14ac:dyDescent="0.2">
      <c r="A38" s="58" t="s">
        <v>59</v>
      </c>
      <c r="B38" s="58" t="s">
        <v>91</v>
      </c>
      <c r="C38" s="11">
        <v>4.32</v>
      </c>
      <c r="D38" s="11">
        <v>4.3</v>
      </c>
      <c r="E38" s="11">
        <v>4.37</v>
      </c>
      <c r="F38" s="248">
        <v>22</v>
      </c>
      <c r="G38" s="12">
        <v>65259.4</v>
      </c>
      <c r="H38" s="12">
        <v>82643.73000000001</v>
      </c>
      <c r="I38" s="12">
        <v>80909.279999999999</v>
      </c>
      <c r="J38" s="12">
        <v>70146.680000000008</v>
      </c>
      <c r="K38" s="12">
        <v>59970.510000000009</v>
      </c>
      <c r="L38" s="12">
        <v>47639.510000000009</v>
      </c>
      <c r="M38" s="12">
        <v>48628.62</v>
      </c>
      <c r="N38" s="13">
        <v>55669.41</v>
      </c>
      <c r="O38" s="13">
        <v>55139.34</v>
      </c>
      <c r="P38" s="13">
        <v>48381.919999999998</v>
      </c>
      <c r="Q38" s="13">
        <v>46166.469999999994</v>
      </c>
      <c r="R38" s="13">
        <v>43823.97</v>
      </c>
      <c r="S38" s="12">
        <f t="shared" si="0"/>
        <v>704378.84</v>
      </c>
      <c r="U38" s="13">
        <f t="shared" si="13"/>
        <v>15106.342592592591</v>
      </c>
      <c r="V38" s="13">
        <f t="shared" si="14"/>
        <v>19130.493055555558</v>
      </c>
      <c r="W38" s="13">
        <f t="shared" si="15"/>
        <v>18729</v>
      </c>
      <c r="X38" s="13">
        <f t="shared" ref="X38:AB53" si="26">J38/$D38</f>
        <v>16313.18139534884</v>
      </c>
      <c r="Y38" s="13">
        <f t="shared" si="26"/>
        <v>13946.630232558142</v>
      </c>
      <c r="Z38" s="13">
        <f t="shared" si="26"/>
        <v>11078.955813953491</v>
      </c>
      <c r="AA38" s="13">
        <f t="shared" si="26"/>
        <v>11308.981395348837</v>
      </c>
      <c r="AB38" s="13">
        <f t="shared" si="26"/>
        <v>12946.374418604653</v>
      </c>
      <c r="AC38" s="13">
        <f t="shared" si="7"/>
        <v>12617.697940503431</v>
      </c>
      <c r="AD38" s="13">
        <f t="shared" si="8"/>
        <v>11071.377574370708</v>
      </c>
      <c r="AE38" s="13">
        <f t="shared" si="9"/>
        <v>10564.409610983979</v>
      </c>
      <c r="AF38" s="13">
        <f t="shared" si="10"/>
        <v>10028.368421052632</v>
      </c>
      <c r="AG38" s="15">
        <f t="shared" si="2"/>
        <v>13570.151037572738</v>
      </c>
      <c r="AH38" s="15">
        <f t="shared" si="3"/>
        <v>162841.81245087285</v>
      </c>
    </row>
    <row r="39" spans="1:37" ht="12.75" x14ac:dyDescent="0.2">
      <c r="A39" s="58" t="s">
        <v>60</v>
      </c>
      <c r="B39" s="58" t="s">
        <v>92</v>
      </c>
      <c r="C39" s="11">
        <v>5.7</v>
      </c>
      <c r="D39" s="11">
        <v>5.67</v>
      </c>
      <c r="E39" s="11">
        <v>5.74</v>
      </c>
      <c r="F39" s="248">
        <v>22</v>
      </c>
      <c r="G39" s="12">
        <v>1521.8999999999999</v>
      </c>
      <c r="H39" s="12">
        <v>1470.6000000000001</v>
      </c>
      <c r="I39" s="12">
        <v>1732.8</v>
      </c>
      <c r="J39" s="12">
        <v>1635.8999999999999</v>
      </c>
      <c r="K39" s="12">
        <v>1755.6000000000001</v>
      </c>
      <c r="L39" s="12">
        <v>1320.78</v>
      </c>
      <c r="M39" s="12">
        <v>1411.65</v>
      </c>
      <c r="N39" s="13">
        <v>1587.44</v>
      </c>
      <c r="O39" s="13">
        <v>1224.72</v>
      </c>
      <c r="P39" s="13">
        <v>1547.98</v>
      </c>
      <c r="Q39" s="13">
        <v>1486.73</v>
      </c>
      <c r="R39" s="13">
        <v>1257.1999999999998</v>
      </c>
      <c r="S39" s="12">
        <f t="shared" si="0"/>
        <v>17953.3</v>
      </c>
      <c r="U39" s="13">
        <f t="shared" si="13"/>
        <v>266.99999999999994</v>
      </c>
      <c r="V39" s="13">
        <f t="shared" si="14"/>
        <v>258</v>
      </c>
      <c r="W39" s="13">
        <f t="shared" si="15"/>
        <v>304</v>
      </c>
      <c r="X39" s="13">
        <f t="shared" si="26"/>
        <v>288.51851851851848</v>
      </c>
      <c r="Y39" s="13">
        <f t="shared" si="26"/>
        <v>309.62962962962968</v>
      </c>
      <c r="Z39" s="13">
        <f t="shared" si="26"/>
        <v>232.94179894179894</v>
      </c>
      <c r="AA39" s="13">
        <f t="shared" si="26"/>
        <v>248.96825396825398</v>
      </c>
      <c r="AB39" s="13">
        <f t="shared" si="26"/>
        <v>279.97178130511463</v>
      </c>
      <c r="AC39" s="13">
        <f t="shared" si="7"/>
        <v>213.36585365853659</v>
      </c>
      <c r="AD39" s="13">
        <f t="shared" si="8"/>
        <v>269.6829268292683</v>
      </c>
      <c r="AE39" s="13">
        <f t="shared" si="9"/>
        <v>259.01219512195121</v>
      </c>
      <c r="AF39" s="13">
        <f t="shared" si="10"/>
        <v>219.02439024390239</v>
      </c>
      <c r="AG39" s="15">
        <f t="shared" si="2"/>
        <v>262.50961235141455</v>
      </c>
      <c r="AH39" s="15">
        <f t="shared" si="3"/>
        <v>3150.1153482169743</v>
      </c>
    </row>
    <row r="40" spans="1:37" ht="12.75" x14ac:dyDescent="0.2">
      <c r="A40" s="58" t="s">
        <v>1025</v>
      </c>
      <c r="B40" s="58" t="s">
        <v>92</v>
      </c>
      <c r="C40" s="11">
        <v>5.7</v>
      </c>
      <c r="D40" s="11">
        <v>5.67</v>
      </c>
      <c r="E40" s="11">
        <v>5.74</v>
      </c>
      <c r="F40" s="248">
        <v>22</v>
      </c>
      <c r="G40" s="12">
        <v>0</v>
      </c>
      <c r="H40" s="12">
        <v>0</v>
      </c>
      <c r="I40" s="12">
        <v>0</v>
      </c>
      <c r="J40" s="12">
        <v>5.7</v>
      </c>
      <c r="K40" s="12">
        <v>0</v>
      </c>
      <c r="L40" s="12">
        <v>0</v>
      </c>
      <c r="M40" s="12">
        <v>5.67</v>
      </c>
      <c r="N40" s="13">
        <v>0</v>
      </c>
      <c r="O40" s="13">
        <v>0</v>
      </c>
      <c r="P40" s="13">
        <v>0</v>
      </c>
      <c r="Q40" s="13">
        <v>5.74</v>
      </c>
      <c r="R40" s="13">
        <v>5.74</v>
      </c>
      <c r="S40" s="12">
        <f t="shared" si="0"/>
        <v>22.85</v>
      </c>
      <c r="U40" s="13">
        <f t="shared" si="13"/>
        <v>0</v>
      </c>
      <c r="V40" s="13">
        <f t="shared" si="14"/>
        <v>0</v>
      </c>
      <c r="W40" s="13">
        <f t="shared" si="15"/>
        <v>0</v>
      </c>
      <c r="X40" s="13">
        <f t="shared" si="26"/>
        <v>1.0052910052910053</v>
      </c>
      <c r="Y40" s="13">
        <f t="shared" si="26"/>
        <v>0</v>
      </c>
      <c r="Z40" s="13">
        <f t="shared" si="26"/>
        <v>0</v>
      </c>
      <c r="AA40" s="13">
        <f t="shared" si="26"/>
        <v>1</v>
      </c>
      <c r="AB40" s="13">
        <f t="shared" si="26"/>
        <v>0</v>
      </c>
      <c r="AC40" s="13">
        <f t="shared" si="7"/>
        <v>0</v>
      </c>
      <c r="AD40" s="13">
        <f t="shared" si="8"/>
        <v>0</v>
      </c>
      <c r="AE40" s="13">
        <f t="shared" si="9"/>
        <v>1</v>
      </c>
      <c r="AF40" s="13">
        <f t="shared" si="10"/>
        <v>1</v>
      </c>
      <c r="AG40" s="15">
        <f t="shared" si="2"/>
        <v>0.33377425044091713</v>
      </c>
      <c r="AH40" s="15">
        <f t="shared" si="3"/>
        <v>4.0052910052910056</v>
      </c>
    </row>
    <row r="41" spans="1:37" ht="12.75" x14ac:dyDescent="0.2">
      <c r="A41" s="58" t="s">
        <v>61</v>
      </c>
      <c r="B41" s="58" t="s">
        <v>93</v>
      </c>
      <c r="C41" s="11">
        <v>5.54</v>
      </c>
      <c r="D41" s="11">
        <v>5.51</v>
      </c>
      <c r="E41" s="11">
        <v>5.58</v>
      </c>
      <c r="F41" s="248">
        <v>16</v>
      </c>
      <c r="G41" s="12">
        <v>19220.919999999998</v>
      </c>
      <c r="H41" s="12">
        <v>22531.72</v>
      </c>
      <c r="I41" s="12">
        <v>22232.02</v>
      </c>
      <c r="J41" s="12">
        <v>17967.68</v>
      </c>
      <c r="K41" s="12">
        <v>13595.159999999998</v>
      </c>
      <c r="L41" s="12">
        <v>12519.619999999999</v>
      </c>
      <c r="M41" s="12">
        <v>22425.279999999999</v>
      </c>
      <c r="N41" s="13">
        <v>29883.62</v>
      </c>
      <c r="O41" s="13">
        <v>23037.05</v>
      </c>
      <c r="P41" s="13">
        <v>19820.879999999997</v>
      </c>
      <c r="Q41" s="13">
        <v>17129.54</v>
      </c>
      <c r="R41" s="13">
        <v>15328.830000000002</v>
      </c>
      <c r="S41" s="12">
        <f t="shared" si="0"/>
        <v>235692.32</v>
      </c>
      <c r="U41" s="13">
        <f t="shared" si="13"/>
        <v>3469.4801444043319</v>
      </c>
      <c r="V41" s="13">
        <f t="shared" si="14"/>
        <v>4067.097472924188</v>
      </c>
      <c r="W41" s="13">
        <f t="shared" si="15"/>
        <v>4013</v>
      </c>
      <c r="X41" s="13">
        <f t="shared" si="26"/>
        <v>3260.9219600725955</v>
      </c>
      <c r="Y41" s="13">
        <f t="shared" si="26"/>
        <v>2467.3611615245009</v>
      </c>
      <c r="Z41" s="13">
        <f t="shared" si="26"/>
        <v>2272.1633393829402</v>
      </c>
      <c r="AA41" s="13">
        <f t="shared" si="26"/>
        <v>4069.9237749546278</v>
      </c>
      <c r="AB41" s="13">
        <f t="shared" si="26"/>
        <v>5423.5245009074406</v>
      </c>
      <c r="AC41" s="13">
        <f t="shared" si="7"/>
        <v>4128.5035842293901</v>
      </c>
      <c r="AD41" s="13">
        <f t="shared" si="8"/>
        <v>3552.1290322580639</v>
      </c>
      <c r="AE41" s="13">
        <f t="shared" si="9"/>
        <v>3069.8100358422939</v>
      </c>
      <c r="AF41" s="13">
        <f t="shared" si="10"/>
        <v>2747.1021505376348</v>
      </c>
      <c r="AG41" s="15">
        <f t="shared" si="2"/>
        <v>3545.0847630864996</v>
      </c>
      <c r="AH41" s="15">
        <f t="shared" si="3"/>
        <v>42541.017157037997</v>
      </c>
    </row>
    <row r="42" spans="1:37" ht="12.75" x14ac:dyDescent="0.2">
      <c r="A42" s="58" t="s">
        <v>676</v>
      </c>
      <c r="B42" s="58" t="s">
        <v>93</v>
      </c>
      <c r="C42" s="11">
        <v>5.54</v>
      </c>
      <c r="D42" s="11">
        <v>5.51</v>
      </c>
      <c r="E42" s="11">
        <v>5.58</v>
      </c>
      <c r="F42" s="248">
        <v>16</v>
      </c>
      <c r="G42" s="12">
        <v>22.16</v>
      </c>
      <c r="H42" s="12">
        <v>132.96</v>
      </c>
      <c r="I42" s="12">
        <v>49.86</v>
      </c>
      <c r="J42" s="12">
        <v>16.62</v>
      </c>
      <c r="K42" s="12">
        <v>0</v>
      </c>
      <c r="L42" s="12">
        <v>38.569999999999993</v>
      </c>
      <c r="M42" s="12">
        <v>66.12</v>
      </c>
      <c r="N42" s="13">
        <v>143.26</v>
      </c>
      <c r="O42" s="13">
        <v>27.55</v>
      </c>
      <c r="P42" s="13">
        <v>27.9</v>
      </c>
      <c r="Q42" s="13">
        <v>27.9</v>
      </c>
      <c r="R42" s="13">
        <v>55.8</v>
      </c>
      <c r="S42" s="12">
        <f t="shared" si="0"/>
        <v>608.69999999999993</v>
      </c>
      <c r="U42" s="13">
        <f t="shared" si="13"/>
        <v>4</v>
      </c>
      <c r="V42" s="13">
        <f t="shared" si="14"/>
        <v>24</v>
      </c>
      <c r="W42" s="13">
        <f t="shared" si="15"/>
        <v>9</v>
      </c>
      <c r="X42" s="13">
        <f t="shared" si="26"/>
        <v>3.0163339382940113</v>
      </c>
      <c r="Y42" s="13">
        <f t="shared" si="26"/>
        <v>0</v>
      </c>
      <c r="Z42" s="13">
        <f t="shared" si="26"/>
        <v>6.9999999999999991</v>
      </c>
      <c r="AA42" s="13">
        <f t="shared" si="26"/>
        <v>12.000000000000002</v>
      </c>
      <c r="AB42" s="13">
        <f t="shared" si="26"/>
        <v>26</v>
      </c>
      <c r="AC42" s="13">
        <f t="shared" si="7"/>
        <v>4.9372759856630823</v>
      </c>
      <c r="AD42" s="13">
        <f t="shared" si="8"/>
        <v>5</v>
      </c>
      <c r="AE42" s="13">
        <f t="shared" si="9"/>
        <v>5</v>
      </c>
      <c r="AF42" s="13">
        <f t="shared" si="10"/>
        <v>10</v>
      </c>
      <c r="AG42" s="15">
        <f t="shared" si="2"/>
        <v>9.1628008269964241</v>
      </c>
      <c r="AH42" s="15">
        <f t="shared" si="3"/>
        <v>109.95360992395709</v>
      </c>
    </row>
    <row r="43" spans="1:37" ht="12.75" x14ac:dyDescent="0.2">
      <c r="A43" s="58" t="s">
        <v>62</v>
      </c>
      <c r="B43" s="58" t="s">
        <v>94</v>
      </c>
      <c r="C43" s="11">
        <v>1.52</v>
      </c>
      <c r="D43" s="11">
        <v>1.47</v>
      </c>
      <c r="E43" s="11">
        <v>1.47</v>
      </c>
      <c r="F43" s="248">
        <v>19</v>
      </c>
      <c r="G43" s="12">
        <v>223.82000000000002</v>
      </c>
      <c r="H43" s="12">
        <v>6.08</v>
      </c>
      <c r="I43" s="12">
        <v>224.58</v>
      </c>
      <c r="J43" s="12">
        <v>6.08</v>
      </c>
      <c r="K43" s="12">
        <v>205</v>
      </c>
      <c r="L43" s="12">
        <v>-1.1399999999999999</v>
      </c>
      <c r="M43" s="12">
        <v>197.13</v>
      </c>
      <c r="N43" s="13">
        <v>0</v>
      </c>
      <c r="O43" s="13">
        <v>204.33</v>
      </c>
      <c r="P43" s="13">
        <v>-4.41</v>
      </c>
      <c r="Q43" s="13">
        <v>193.31</v>
      </c>
      <c r="R43" s="13">
        <v>0</v>
      </c>
      <c r="S43" s="12">
        <f t="shared" si="0"/>
        <v>1254.7799999999997</v>
      </c>
      <c r="U43" s="13">
        <f t="shared" si="13"/>
        <v>147.25</v>
      </c>
      <c r="V43" s="13">
        <f t="shared" si="14"/>
        <v>4</v>
      </c>
      <c r="W43" s="13">
        <f t="shared" si="15"/>
        <v>147.75</v>
      </c>
      <c r="X43" s="13">
        <f t="shared" si="26"/>
        <v>4.1360544217687076</v>
      </c>
      <c r="Y43" s="13">
        <f t="shared" si="26"/>
        <v>139.45578231292518</v>
      </c>
      <c r="Z43" s="13">
        <f t="shared" si="26"/>
        <v>-0.77551020408163263</v>
      </c>
      <c r="AA43" s="13">
        <f t="shared" si="26"/>
        <v>134.10204081632654</v>
      </c>
      <c r="AB43" s="13">
        <f t="shared" si="26"/>
        <v>0</v>
      </c>
      <c r="AC43" s="13">
        <f t="shared" si="7"/>
        <v>139</v>
      </c>
      <c r="AD43" s="13">
        <f t="shared" si="8"/>
        <v>-3</v>
      </c>
      <c r="AE43" s="13">
        <f t="shared" si="9"/>
        <v>131.50340136054422</v>
      </c>
      <c r="AF43" s="13">
        <f t="shared" si="10"/>
        <v>0</v>
      </c>
      <c r="AG43" s="15">
        <f t="shared" si="2"/>
        <v>70.285147392290256</v>
      </c>
      <c r="AH43" s="15">
        <f t="shared" si="3"/>
        <v>843.42176870748301</v>
      </c>
    </row>
    <row r="44" spans="1:37" ht="12.75" x14ac:dyDescent="0.2">
      <c r="A44" s="58" t="s">
        <v>1180</v>
      </c>
      <c r="B44" s="58" t="s">
        <v>1181</v>
      </c>
      <c r="C44" s="11">
        <v>0.76</v>
      </c>
      <c r="D44" s="11">
        <v>0.73499999999999999</v>
      </c>
      <c r="E44" s="11">
        <v>0.73499999999999999</v>
      </c>
      <c r="F44" s="248">
        <v>19</v>
      </c>
      <c r="G44" s="12">
        <v>0.76</v>
      </c>
      <c r="H44" s="12">
        <v>0.76</v>
      </c>
      <c r="I44" s="12">
        <v>1.1399999999999999</v>
      </c>
      <c r="J44" s="12">
        <v>1.1399999999999999</v>
      </c>
      <c r="K44" s="12">
        <v>1.9</v>
      </c>
      <c r="L44" s="12">
        <v>1.9</v>
      </c>
      <c r="M44" s="12">
        <v>2.2050000000000001</v>
      </c>
      <c r="N44" s="13">
        <v>2.2050000000000001</v>
      </c>
      <c r="O44" s="13">
        <v>2.2050000000000001</v>
      </c>
      <c r="P44" s="13">
        <v>1.835</v>
      </c>
      <c r="Q44" s="13">
        <v>1.47</v>
      </c>
      <c r="R44" s="13">
        <v>1.8399999999999999</v>
      </c>
      <c r="S44" s="12">
        <f t="shared" si="0"/>
        <v>19.36</v>
      </c>
      <c r="U44" s="13">
        <f t="shared" si="13"/>
        <v>1</v>
      </c>
      <c r="V44" s="13">
        <f t="shared" si="14"/>
        <v>1</v>
      </c>
      <c r="W44" s="13">
        <f t="shared" si="15"/>
        <v>1.4999999999999998</v>
      </c>
      <c r="X44" s="13">
        <f t="shared" si="26"/>
        <v>1.5510204081632653</v>
      </c>
      <c r="Y44" s="13">
        <f t="shared" si="26"/>
        <v>2.5850340136054419</v>
      </c>
      <c r="Z44" s="13">
        <f t="shared" si="26"/>
        <v>2.5850340136054419</v>
      </c>
      <c r="AA44" s="13">
        <f t="shared" si="26"/>
        <v>3</v>
      </c>
      <c r="AB44" s="13">
        <f t="shared" si="26"/>
        <v>3</v>
      </c>
      <c r="AC44" s="13">
        <f t="shared" si="7"/>
        <v>3</v>
      </c>
      <c r="AD44" s="13">
        <f t="shared" si="8"/>
        <v>2.4965986394557822</v>
      </c>
      <c r="AE44" s="13">
        <f t="shared" si="9"/>
        <v>2</v>
      </c>
      <c r="AF44" s="13">
        <f t="shared" si="10"/>
        <v>2.5034013605442174</v>
      </c>
      <c r="AG44" s="15">
        <f t="shared" si="2"/>
        <v>2.1850907029478459</v>
      </c>
      <c r="AH44" s="15">
        <f t="shared" si="3"/>
        <v>26.221088435374149</v>
      </c>
    </row>
    <row r="45" spans="1:37" ht="12.75" x14ac:dyDescent="0.2">
      <c r="A45" s="58" t="s">
        <v>63</v>
      </c>
      <c r="B45" s="58" t="s">
        <v>95</v>
      </c>
      <c r="C45" s="11">
        <v>3.03</v>
      </c>
      <c r="D45" s="11">
        <v>2.94</v>
      </c>
      <c r="E45" s="11">
        <v>2.94</v>
      </c>
      <c r="F45" s="248">
        <v>19</v>
      </c>
      <c r="G45" s="12">
        <v>212.1</v>
      </c>
      <c r="H45" s="12">
        <v>0</v>
      </c>
      <c r="I45" s="12">
        <v>209.07</v>
      </c>
      <c r="J45" s="12">
        <v>0</v>
      </c>
      <c r="K45" s="12">
        <v>216.37</v>
      </c>
      <c r="L45" s="12">
        <v>0</v>
      </c>
      <c r="M45" s="12">
        <v>229.5</v>
      </c>
      <c r="N45" s="13">
        <v>-5.88</v>
      </c>
      <c r="O45" s="13">
        <v>205.8</v>
      </c>
      <c r="P45" s="13">
        <v>0</v>
      </c>
      <c r="Q45" s="13">
        <v>205.8</v>
      </c>
      <c r="R45" s="13">
        <v>0</v>
      </c>
      <c r="S45" s="12">
        <f t="shared" si="0"/>
        <v>1272.76</v>
      </c>
      <c r="U45" s="13">
        <f t="shared" si="13"/>
        <v>70</v>
      </c>
      <c r="V45" s="13">
        <f t="shared" si="14"/>
        <v>0</v>
      </c>
      <c r="W45" s="13">
        <f t="shared" si="15"/>
        <v>69</v>
      </c>
      <c r="X45" s="13">
        <f t="shared" si="26"/>
        <v>0</v>
      </c>
      <c r="Y45" s="13">
        <f t="shared" si="26"/>
        <v>73.595238095238102</v>
      </c>
      <c r="Z45" s="13">
        <f t="shared" si="26"/>
        <v>0</v>
      </c>
      <c r="AA45" s="13">
        <f t="shared" si="26"/>
        <v>78.061224489795919</v>
      </c>
      <c r="AB45" s="13">
        <f t="shared" si="26"/>
        <v>-2</v>
      </c>
      <c r="AC45" s="13">
        <f t="shared" si="7"/>
        <v>70</v>
      </c>
      <c r="AD45" s="13">
        <f t="shared" si="8"/>
        <v>0</v>
      </c>
      <c r="AE45" s="13">
        <f t="shared" si="9"/>
        <v>70</v>
      </c>
      <c r="AF45" s="13">
        <f t="shared" si="10"/>
        <v>0</v>
      </c>
      <c r="AG45" s="15">
        <f t="shared" si="2"/>
        <v>35.721371882086167</v>
      </c>
      <c r="AH45" s="15">
        <f t="shared" si="3"/>
        <v>428.65646258503403</v>
      </c>
    </row>
    <row r="46" spans="1:37" ht="12.75" x14ac:dyDescent="0.2">
      <c r="A46" s="58" t="s">
        <v>1223</v>
      </c>
      <c r="B46" s="58" t="s">
        <v>1224</v>
      </c>
      <c r="C46" s="11">
        <v>1.52</v>
      </c>
      <c r="D46" s="11">
        <v>1.4750000000000001</v>
      </c>
      <c r="E46" s="11">
        <v>1.4750000000000001</v>
      </c>
      <c r="F46" s="248">
        <v>19</v>
      </c>
      <c r="G46" s="12">
        <v>4.5599999999999996</v>
      </c>
      <c r="H46" s="12">
        <v>4.5599999999999996</v>
      </c>
      <c r="I46" s="12">
        <v>4.5599999999999996</v>
      </c>
      <c r="J46" s="12">
        <v>4.5599999999999996</v>
      </c>
      <c r="K46" s="12">
        <v>4.5599999999999996</v>
      </c>
      <c r="L46" s="12">
        <v>4.5599999999999996</v>
      </c>
      <c r="M46" s="12">
        <v>6.66</v>
      </c>
      <c r="N46" s="13">
        <v>6.66</v>
      </c>
      <c r="O46" s="13">
        <v>5.9</v>
      </c>
      <c r="P46" s="13">
        <v>5.9</v>
      </c>
      <c r="Q46" s="13">
        <v>7.375</v>
      </c>
      <c r="R46" s="13">
        <v>7.375</v>
      </c>
      <c r="S46" s="12">
        <f t="shared" si="0"/>
        <v>67.22999999999999</v>
      </c>
      <c r="U46" s="13">
        <f t="shared" si="13"/>
        <v>2.9999999999999996</v>
      </c>
      <c r="V46" s="13">
        <f t="shared" si="14"/>
        <v>2.9999999999999996</v>
      </c>
      <c r="W46" s="13">
        <f t="shared" si="15"/>
        <v>2.9999999999999996</v>
      </c>
      <c r="X46" s="13">
        <f t="shared" si="26"/>
        <v>3.0915254237288132</v>
      </c>
      <c r="Y46" s="13">
        <f t="shared" si="26"/>
        <v>3.0915254237288132</v>
      </c>
      <c r="Z46" s="13">
        <f t="shared" si="26"/>
        <v>3.0915254237288132</v>
      </c>
      <c r="AA46" s="13">
        <f t="shared" si="26"/>
        <v>4.5152542372881355</v>
      </c>
      <c r="AB46" s="13">
        <f t="shared" si="26"/>
        <v>4.5152542372881355</v>
      </c>
      <c r="AC46" s="13">
        <f t="shared" si="7"/>
        <v>4</v>
      </c>
      <c r="AD46" s="13">
        <f t="shared" si="8"/>
        <v>4</v>
      </c>
      <c r="AE46" s="13">
        <f t="shared" si="9"/>
        <v>5</v>
      </c>
      <c r="AF46" s="13">
        <f t="shared" si="10"/>
        <v>5</v>
      </c>
      <c r="AG46" s="15">
        <f t="shared" si="2"/>
        <v>3.7754237288135593</v>
      </c>
      <c r="AH46" s="15">
        <f t="shared" si="3"/>
        <v>45.305084745762713</v>
      </c>
    </row>
    <row r="47" spans="1:37" ht="12.75" x14ac:dyDescent="0.2">
      <c r="A47" s="58" t="s">
        <v>64</v>
      </c>
      <c r="B47" s="58" t="s">
        <v>96</v>
      </c>
      <c r="C47" s="11">
        <v>4.55</v>
      </c>
      <c r="D47" s="11">
        <v>4.415</v>
      </c>
      <c r="E47" s="11">
        <v>4.415</v>
      </c>
      <c r="F47" s="248">
        <v>19</v>
      </c>
      <c r="G47" s="12">
        <v>54.599999999999994</v>
      </c>
      <c r="H47" s="12">
        <v>0</v>
      </c>
      <c r="I47" s="12">
        <v>54.599999999999994</v>
      </c>
      <c r="J47" s="12">
        <v>0</v>
      </c>
      <c r="K47" s="12">
        <v>63.05</v>
      </c>
      <c r="L47" s="12">
        <v>0</v>
      </c>
      <c r="M47" s="12">
        <v>70.930000000000007</v>
      </c>
      <c r="N47" s="13">
        <v>35.32</v>
      </c>
      <c r="O47" s="13">
        <v>118.62</v>
      </c>
      <c r="P47" s="13">
        <v>35.32</v>
      </c>
      <c r="Q47" s="13">
        <v>79.47</v>
      </c>
      <c r="R47" s="13">
        <v>0</v>
      </c>
      <c r="S47" s="12">
        <f t="shared" si="0"/>
        <v>511.90999999999997</v>
      </c>
      <c r="U47" s="13">
        <f t="shared" si="13"/>
        <v>12</v>
      </c>
      <c r="V47" s="13">
        <f t="shared" si="14"/>
        <v>0</v>
      </c>
      <c r="W47" s="13">
        <f t="shared" si="15"/>
        <v>12</v>
      </c>
      <c r="X47" s="13">
        <f t="shared" si="26"/>
        <v>0</v>
      </c>
      <c r="Y47" s="13">
        <f t="shared" si="26"/>
        <v>14.280860702151754</v>
      </c>
      <c r="Z47" s="13">
        <f t="shared" si="26"/>
        <v>0</v>
      </c>
      <c r="AA47" s="13">
        <f t="shared" si="26"/>
        <v>16.065685164212912</v>
      </c>
      <c r="AB47" s="13">
        <f t="shared" si="26"/>
        <v>8</v>
      </c>
      <c r="AC47" s="13">
        <f t="shared" si="7"/>
        <v>26.867497168742922</v>
      </c>
      <c r="AD47" s="13">
        <f t="shared" si="8"/>
        <v>8</v>
      </c>
      <c r="AE47" s="13">
        <f t="shared" si="9"/>
        <v>18</v>
      </c>
      <c r="AF47" s="13">
        <f t="shared" si="10"/>
        <v>0</v>
      </c>
      <c r="AG47" s="15">
        <f t="shared" si="2"/>
        <v>9.6011702529256322</v>
      </c>
      <c r="AH47" s="15">
        <f t="shared" si="3"/>
        <v>115.21404303510758</v>
      </c>
    </row>
    <row r="48" spans="1:37" ht="12.75" x14ac:dyDescent="0.2">
      <c r="A48" s="58" t="s">
        <v>65</v>
      </c>
      <c r="B48" s="58" t="s">
        <v>97</v>
      </c>
      <c r="C48" s="11">
        <v>6.06</v>
      </c>
      <c r="D48" s="11">
        <v>5.8849999999999998</v>
      </c>
      <c r="E48" s="11">
        <v>5.8849999999999998</v>
      </c>
      <c r="F48" s="248">
        <v>19</v>
      </c>
      <c r="G48" s="12">
        <v>84.84</v>
      </c>
      <c r="H48" s="12">
        <v>0</v>
      </c>
      <c r="I48" s="12">
        <v>84.84</v>
      </c>
      <c r="J48" s="12">
        <v>0</v>
      </c>
      <c r="K48" s="12">
        <v>84.16</v>
      </c>
      <c r="L48" s="12">
        <v>0</v>
      </c>
      <c r="M48" s="12">
        <v>82.39</v>
      </c>
      <c r="N48" s="13">
        <v>0</v>
      </c>
      <c r="O48" s="13">
        <v>82.39</v>
      </c>
      <c r="P48" s="13">
        <v>0</v>
      </c>
      <c r="Q48" s="13">
        <v>82.39</v>
      </c>
      <c r="R48" s="13">
        <v>0</v>
      </c>
      <c r="S48" s="12">
        <f t="shared" si="0"/>
        <v>501.01</v>
      </c>
      <c r="U48" s="13">
        <f t="shared" si="13"/>
        <v>14.000000000000002</v>
      </c>
      <c r="V48" s="13">
        <f t="shared" si="14"/>
        <v>0</v>
      </c>
      <c r="W48" s="13">
        <f t="shared" si="15"/>
        <v>14.000000000000002</v>
      </c>
      <c r="X48" s="13">
        <f t="shared" si="26"/>
        <v>0</v>
      </c>
      <c r="Y48" s="13">
        <f t="shared" si="26"/>
        <v>14.300764655904842</v>
      </c>
      <c r="Z48" s="13">
        <f t="shared" si="26"/>
        <v>0</v>
      </c>
      <c r="AA48" s="13">
        <f t="shared" si="26"/>
        <v>14</v>
      </c>
      <c r="AB48" s="13">
        <f t="shared" si="26"/>
        <v>0</v>
      </c>
      <c r="AC48" s="13">
        <f t="shared" si="7"/>
        <v>14</v>
      </c>
      <c r="AD48" s="13">
        <f t="shared" si="8"/>
        <v>0</v>
      </c>
      <c r="AE48" s="13">
        <f t="shared" si="9"/>
        <v>14</v>
      </c>
      <c r="AF48" s="13">
        <f t="shared" si="10"/>
        <v>0</v>
      </c>
      <c r="AG48" s="15">
        <f t="shared" si="2"/>
        <v>7.0250637213254032</v>
      </c>
      <c r="AH48" s="15">
        <f t="shared" si="3"/>
        <v>84.300764655904842</v>
      </c>
    </row>
    <row r="49" spans="1:34" ht="12.75" x14ac:dyDescent="0.2">
      <c r="A49" s="58" t="s">
        <v>66</v>
      </c>
      <c r="B49" s="58" t="s">
        <v>98</v>
      </c>
      <c r="C49" s="11">
        <v>7.58</v>
      </c>
      <c r="D49" s="11">
        <v>7.36</v>
      </c>
      <c r="E49" s="11">
        <v>7.36</v>
      </c>
      <c r="F49" s="248">
        <v>19</v>
      </c>
      <c r="G49" s="12">
        <v>15.16</v>
      </c>
      <c r="H49" s="12">
        <v>0</v>
      </c>
      <c r="I49" s="12">
        <v>15.16</v>
      </c>
      <c r="J49" s="12">
        <v>0</v>
      </c>
      <c r="K49" s="12">
        <v>15.16</v>
      </c>
      <c r="L49" s="12">
        <v>0</v>
      </c>
      <c r="M49" s="12">
        <v>14.72</v>
      </c>
      <c r="N49" s="13">
        <v>0</v>
      </c>
      <c r="O49" s="13">
        <v>14.72</v>
      </c>
      <c r="P49" s="13">
        <v>0</v>
      </c>
      <c r="Q49" s="13">
        <v>14.72</v>
      </c>
      <c r="R49" s="13">
        <v>0</v>
      </c>
      <c r="S49" s="12">
        <f t="shared" si="0"/>
        <v>89.64</v>
      </c>
      <c r="U49" s="13">
        <f t="shared" si="13"/>
        <v>2</v>
      </c>
      <c r="V49" s="13">
        <f t="shared" si="14"/>
        <v>0</v>
      </c>
      <c r="W49" s="13">
        <f t="shared" si="15"/>
        <v>2</v>
      </c>
      <c r="X49" s="13">
        <f t="shared" si="26"/>
        <v>0</v>
      </c>
      <c r="Y49" s="13">
        <f t="shared" si="26"/>
        <v>2.0597826086956519</v>
      </c>
      <c r="Z49" s="13">
        <f t="shared" si="26"/>
        <v>0</v>
      </c>
      <c r="AA49" s="13">
        <f t="shared" si="26"/>
        <v>2</v>
      </c>
      <c r="AB49" s="13">
        <f t="shared" si="26"/>
        <v>0</v>
      </c>
      <c r="AC49" s="13">
        <f t="shared" si="7"/>
        <v>2</v>
      </c>
      <c r="AD49" s="13">
        <f t="shared" si="8"/>
        <v>0</v>
      </c>
      <c r="AE49" s="13">
        <f t="shared" si="9"/>
        <v>2</v>
      </c>
      <c r="AF49" s="13">
        <f t="shared" si="10"/>
        <v>0</v>
      </c>
      <c r="AG49" s="15">
        <f t="shared" si="2"/>
        <v>1.004981884057971</v>
      </c>
      <c r="AH49" s="15">
        <f t="shared" si="3"/>
        <v>12.059782608695652</v>
      </c>
    </row>
    <row r="50" spans="1:34" ht="12.75" x14ac:dyDescent="0.2">
      <c r="A50" s="58" t="s">
        <v>1221</v>
      </c>
      <c r="B50" s="58" t="s">
        <v>1222</v>
      </c>
      <c r="C50" s="11">
        <v>4.5599999999999996</v>
      </c>
      <c r="D50" s="11">
        <v>4.4249999999999998</v>
      </c>
      <c r="E50" s="11">
        <v>4.4249999999999998</v>
      </c>
      <c r="F50" s="248">
        <v>19</v>
      </c>
      <c r="G50" s="12">
        <v>4.5599999999999996</v>
      </c>
      <c r="H50" s="12">
        <v>4.5599999999999996</v>
      </c>
      <c r="I50" s="12">
        <v>4.5599999999999996</v>
      </c>
      <c r="J50" s="12">
        <v>4.5599999999999996</v>
      </c>
      <c r="K50" s="12">
        <v>4.5599999999999996</v>
      </c>
      <c r="L50" s="12">
        <v>4.5599999999999996</v>
      </c>
      <c r="M50" s="12">
        <v>4.4249999999999998</v>
      </c>
      <c r="N50" s="13">
        <v>4.4249999999999998</v>
      </c>
      <c r="O50" s="13">
        <v>4.4249999999999998</v>
      </c>
      <c r="P50" s="13">
        <v>4.4249999999999998</v>
      </c>
      <c r="Q50" s="13">
        <v>4.4249999999999998</v>
      </c>
      <c r="R50" s="13">
        <v>4.4249999999999998</v>
      </c>
      <c r="S50" s="12">
        <f t="shared" si="0"/>
        <v>53.909999999999982</v>
      </c>
      <c r="U50" s="13">
        <f t="shared" si="13"/>
        <v>1</v>
      </c>
      <c r="V50" s="13">
        <f t="shared" si="14"/>
        <v>1</v>
      </c>
      <c r="W50" s="13">
        <f t="shared" si="15"/>
        <v>1</v>
      </c>
      <c r="X50" s="13">
        <f t="shared" si="26"/>
        <v>1.0305084745762711</v>
      </c>
      <c r="Y50" s="13">
        <f t="shared" si="26"/>
        <v>1.0305084745762711</v>
      </c>
      <c r="Z50" s="13">
        <f t="shared" si="26"/>
        <v>1.0305084745762711</v>
      </c>
      <c r="AA50" s="13">
        <f t="shared" si="26"/>
        <v>1</v>
      </c>
      <c r="AB50" s="13">
        <f t="shared" si="26"/>
        <v>1</v>
      </c>
      <c r="AC50" s="13">
        <f t="shared" si="7"/>
        <v>1</v>
      </c>
      <c r="AD50" s="13">
        <f t="shared" si="8"/>
        <v>1</v>
      </c>
      <c r="AE50" s="13">
        <f t="shared" si="9"/>
        <v>1</v>
      </c>
      <c r="AF50" s="13">
        <f t="shared" si="10"/>
        <v>1</v>
      </c>
      <c r="AG50" s="15">
        <f t="shared" si="2"/>
        <v>1.0076271186440677</v>
      </c>
      <c r="AH50" s="15">
        <f t="shared" si="3"/>
        <v>12.091525423728813</v>
      </c>
    </row>
    <row r="51" spans="1:34" ht="12.75" x14ac:dyDescent="0.2">
      <c r="A51" s="58" t="s">
        <v>67</v>
      </c>
      <c r="B51" s="58" t="s">
        <v>99</v>
      </c>
      <c r="C51" s="11">
        <v>10.61</v>
      </c>
      <c r="D51" s="11">
        <v>10.305</v>
      </c>
      <c r="E51" s="11">
        <v>10.305</v>
      </c>
      <c r="F51" s="248">
        <v>19</v>
      </c>
      <c r="G51" s="12">
        <v>21.22</v>
      </c>
      <c r="H51" s="12">
        <v>0</v>
      </c>
      <c r="I51" s="12">
        <v>21.22</v>
      </c>
      <c r="J51" s="12">
        <v>0</v>
      </c>
      <c r="K51" s="12">
        <v>21.22</v>
      </c>
      <c r="L51" s="12">
        <v>0</v>
      </c>
      <c r="M51" s="12">
        <v>20.61</v>
      </c>
      <c r="N51" s="13">
        <v>0</v>
      </c>
      <c r="O51" s="13">
        <v>20.61</v>
      </c>
      <c r="P51" s="13">
        <v>0</v>
      </c>
      <c r="Q51" s="13">
        <v>20.61</v>
      </c>
      <c r="R51" s="13">
        <v>-5.15</v>
      </c>
      <c r="S51" s="12">
        <f t="shared" ref="S51:S64" si="27">SUM(G51:R51)</f>
        <v>120.33999999999999</v>
      </c>
      <c r="U51" s="13">
        <f t="shared" si="13"/>
        <v>2</v>
      </c>
      <c r="V51" s="13">
        <f t="shared" si="14"/>
        <v>0</v>
      </c>
      <c r="W51" s="13">
        <f t="shared" si="15"/>
        <v>2</v>
      </c>
      <c r="X51" s="13">
        <f t="shared" si="26"/>
        <v>0</v>
      </c>
      <c r="Y51" s="13">
        <f t="shared" si="26"/>
        <v>2.0591945657447841</v>
      </c>
      <c r="Z51" s="13">
        <f t="shared" si="26"/>
        <v>0</v>
      </c>
      <c r="AA51" s="13">
        <f t="shared" si="26"/>
        <v>2</v>
      </c>
      <c r="AB51" s="13">
        <f t="shared" si="26"/>
        <v>0</v>
      </c>
      <c r="AC51" s="13">
        <f t="shared" si="7"/>
        <v>2</v>
      </c>
      <c r="AD51" s="13">
        <f t="shared" si="8"/>
        <v>0</v>
      </c>
      <c r="AE51" s="13">
        <f t="shared" si="9"/>
        <v>2</v>
      </c>
      <c r="AF51" s="13">
        <f t="shared" si="10"/>
        <v>-0.49975739932071817</v>
      </c>
      <c r="AG51" s="15">
        <f t="shared" ref="AG51:AG64" si="28">IFERROR(AVERAGE(U51:AF51),0)</f>
        <v>0.96328643053533891</v>
      </c>
      <c r="AH51" s="15">
        <f t="shared" ref="AH51:AH64" si="29">SUM(U51:AF51)</f>
        <v>11.559437166424066</v>
      </c>
    </row>
    <row r="52" spans="1:34" ht="12.75" x14ac:dyDescent="0.2">
      <c r="A52" s="58" t="s">
        <v>1303</v>
      </c>
      <c r="B52" s="58" t="s">
        <v>1304</v>
      </c>
      <c r="C52" s="11">
        <v>2.2799999999999998</v>
      </c>
      <c r="D52" s="11">
        <v>2.21</v>
      </c>
      <c r="E52" s="11">
        <v>2.21</v>
      </c>
      <c r="F52" s="248">
        <v>19</v>
      </c>
      <c r="G52" s="12">
        <v>4.5599999999999996</v>
      </c>
      <c r="H52" s="12">
        <v>0</v>
      </c>
      <c r="I52" s="12">
        <v>4.5599999999999996</v>
      </c>
      <c r="J52" s="12">
        <v>0</v>
      </c>
      <c r="K52" s="12">
        <v>4.49</v>
      </c>
      <c r="L52" s="12">
        <v>0</v>
      </c>
      <c r="M52" s="12">
        <v>4.42</v>
      </c>
      <c r="N52" s="13">
        <v>0</v>
      </c>
      <c r="O52" s="13">
        <v>11.05</v>
      </c>
      <c r="P52" s="13">
        <v>0</v>
      </c>
      <c r="Q52" s="13">
        <v>8.84</v>
      </c>
      <c r="R52" s="13">
        <v>0</v>
      </c>
      <c r="S52" s="12">
        <f t="shared" si="27"/>
        <v>37.92</v>
      </c>
      <c r="U52" s="13">
        <f t="shared" si="13"/>
        <v>2</v>
      </c>
      <c r="V52" s="13">
        <f t="shared" si="14"/>
        <v>0</v>
      </c>
      <c r="W52" s="13">
        <f t="shared" si="15"/>
        <v>2</v>
      </c>
      <c r="X52" s="13">
        <f t="shared" si="26"/>
        <v>0</v>
      </c>
      <c r="Y52" s="13">
        <f t="shared" si="26"/>
        <v>2.0316742081447967</v>
      </c>
      <c r="Z52" s="13">
        <f t="shared" si="26"/>
        <v>0</v>
      </c>
      <c r="AA52" s="13">
        <f t="shared" si="26"/>
        <v>2</v>
      </c>
      <c r="AB52" s="13">
        <f t="shared" si="26"/>
        <v>0</v>
      </c>
      <c r="AC52" s="13">
        <f t="shared" si="7"/>
        <v>5</v>
      </c>
      <c r="AD52" s="13">
        <f t="shared" si="8"/>
        <v>0</v>
      </c>
      <c r="AE52" s="13">
        <f t="shared" si="9"/>
        <v>4</v>
      </c>
      <c r="AF52" s="13">
        <f t="shared" si="10"/>
        <v>0</v>
      </c>
      <c r="AG52" s="15">
        <f t="shared" si="28"/>
        <v>1.4193061840120664</v>
      </c>
      <c r="AH52" s="15">
        <f t="shared" si="29"/>
        <v>17.031674208144796</v>
      </c>
    </row>
    <row r="53" spans="1:34" ht="12.75" x14ac:dyDescent="0.2">
      <c r="A53" s="58" t="s">
        <v>678</v>
      </c>
      <c r="B53" s="58" t="s">
        <v>94</v>
      </c>
      <c r="C53" s="11">
        <v>0.76</v>
      </c>
      <c r="D53" s="11">
        <v>0.73499999999999999</v>
      </c>
      <c r="E53" s="11">
        <v>0.73499999999999999</v>
      </c>
      <c r="F53" s="248">
        <v>19</v>
      </c>
      <c r="G53" s="12">
        <v>97.28</v>
      </c>
      <c r="H53" s="12">
        <v>97.28</v>
      </c>
      <c r="I53" s="12">
        <v>97.28</v>
      </c>
      <c r="J53" s="12">
        <v>97.28</v>
      </c>
      <c r="K53" s="12">
        <v>97.28</v>
      </c>
      <c r="L53" s="12">
        <v>97.13</v>
      </c>
      <c r="M53" s="12">
        <v>89.62</v>
      </c>
      <c r="N53" s="13">
        <v>92.61</v>
      </c>
      <c r="O53" s="13">
        <v>92.61</v>
      </c>
      <c r="P53" s="13">
        <v>92.61</v>
      </c>
      <c r="Q53" s="13">
        <v>92.61</v>
      </c>
      <c r="R53" s="13">
        <v>92.61</v>
      </c>
      <c r="S53" s="12">
        <f t="shared" si="27"/>
        <v>1136.1999999999998</v>
      </c>
      <c r="U53" s="13">
        <f t="shared" si="13"/>
        <v>128</v>
      </c>
      <c r="V53" s="13">
        <f t="shared" si="14"/>
        <v>128</v>
      </c>
      <c r="W53" s="13">
        <f t="shared" si="15"/>
        <v>128</v>
      </c>
      <c r="X53" s="13">
        <f t="shared" si="26"/>
        <v>132.35374149659864</v>
      </c>
      <c r="Y53" s="13">
        <f t="shared" si="26"/>
        <v>132.35374149659864</v>
      </c>
      <c r="Z53" s="13">
        <f t="shared" si="26"/>
        <v>132.14965986394557</v>
      </c>
      <c r="AA53" s="13">
        <f t="shared" si="26"/>
        <v>121.93197278911566</v>
      </c>
      <c r="AB53" s="13">
        <f t="shared" si="26"/>
        <v>126</v>
      </c>
      <c r="AC53" s="13">
        <f t="shared" si="7"/>
        <v>126</v>
      </c>
      <c r="AD53" s="13">
        <f t="shared" si="8"/>
        <v>126</v>
      </c>
      <c r="AE53" s="13">
        <f t="shared" si="9"/>
        <v>126</v>
      </c>
      <c r="AF53" s="13">
        <f t="shared" si="10"/>
        <v>126</v>
      </c>
      <c r="AG53" s="15">
        <f t="shared" si="28"/>
        <v>127.73242630385488</v>
      </c>
      <c r="AH53" s="15">
        <f t="shared" si="29"/>
        <v>1532.7891156462586</v>
      </c>
    </row>
    <row r="54" spans="1:34" ht="12.75" x14ac:dyDescent="0.2">
      <c r="A54" s="58" t="s">
        <v>679</v>
      </c>
      <c r="B54" s="58" t="s">
        <v>95</v>
      </c>
      <c r="C54" s="11">
        <v>1.5149999999999999</v>
      </c>
      <c r="D54" s="11">
        <v>1.47</v>
      </c>
      <c r="E54" s="11">
        <v>1.47</v>
      </c>
      <c r="F54" s="248">
        <v>19</v>
      </c>
      <c r="G54" s="12">
        <v>45.45</v>
      </c>
      <c r="H54" s="12">
        <v>45.45</v>
      </c>
      <c r="I54" s="12">
        <v>45.45</v>
      </c>
      <c r="J54" s="12">
        <v>45.45</v>
      </c>
      <c r="K54" s="12">
        <v>45.45</v>
      </c>
      <c r="L54" s="12">
        <v>72.63</v>
      </c>
      <c r="M54" s="12">
        <v>61.739999999999995</v>
      </c>
      <c r="N54" s="13">
        <v>61.739999999999995</v>
      </c>
      <c r="O54" s="13">
        <v>61.739999999999995</v>
      </c>
      <c r="P54" s="13">
        <v>61.739999999999995</v>
      </c>
      <c r="Q54" s="13">
        <v>61.739999999999995</v>
      </c>
      <c r="R54" s="13">
        <v>61.739999999999995</v>
      </c>
      <c r="S54" s="12">
        <f t="shared" si="27"/>
        <v>670.32</v>
      </c>
      <c r="U54" s="13">
        <f t="shared" si="13"/>
        <v>30.000000000000004</v>
      </c>
      <c r="V54" s="13">
        <f t="shared" si="14"/>
        <v>30.000000000000004</v>
      </c>
      <c r="W54" s="13">
        <f t="shared" si="15"/>
        <v>30.000000000000004</v>
      </c>
      <c r="X54" s="13">
        <f t="shared" ref="X54:X64" si="30">J54/$D54</f>
        <v>30.918367346938776</v>
      </c>
      <c r="Y54" s="13">
        <f t="shared" ref="Y54:Y64" si="31">K54/$D54</f>
        <v>30.918367346938776</v>
      </c>
      <c r="Z54" s="13">
        <f t="shared" ref="Z54:Z64" si="32">L54/$D54</f>
        <v>49.408163265306122</v>
      </c>
      <c r="AA54" s="13">
        <f t="shared" ref="AA54:AA64" si="33">M54/$D54</f>
        <v>42</v>
      </c>
      <c r="AB54" s="13">
        <f t="shared" ref="AB54:AB64" si="34">N54/$D54</f>
        <v>42</v>
      </c>
      <c r="AC54" s="13">
        <f t="shared" si="7"/>
        <v>42</v>
      </c>
      <c r="AD54" s="13">
        <f t="shared" si="8"/>
        <v>42</v>
      </c>
      <c r="AE54" s="13">
        <f t="shared" si="9"/>
        <v>42</v>
      </c>
      <c r="AF54" s="13">
        <f t="shared" si="10"/>
        <v>42</v>
      </c>
      <c r="AG54" s="15">
        <f t="shared" si="28"/>
        <v>37.770408163265309</v>
      </c>
      <c r="AH54" s="15">
        <f t="shared" si="29"/>
        <v>453.24489795918367</v>
      </c>
    </row>
    <row r="55" spans="1:34" ht="12.75" x14ac:dyDescent="0.2">
      <c r="A55" s="58" t="s">
        <v>1094</v>
      </c>
      <c r="B55" s="58" t="s">
        <v>97</v>
      </c>
      <c r="C55" s="11">
        <v>3.03</v>
      </c>
      <c r="D55" s="11">
        <v>2.94</v>
      </c>
      <c r="E55" s="11">
        <v>2.94</v>
      </c>
      <c r="F55" s="248">
        <v>19</v>
      </c>
      <c r="G55" s="12">
        <v>0</v>
      </c>
      <c r="H55" s="12">
        <v>0</v>
      </c>
      <c r="I55" s="12">
        <v>0</v>
      </c>
      <c r="J55" s="12">
        <v>0</v>
      </c>
      <c r="K55" s="12">
        <v>0</v>
      </c>
      <c r="L55" s="12">
        <v>0</v>
      </c>
      <c r="M55" s="12">
        <v>0</v>
      </c>
      <c r="N55" s="13">
        <v>0</v>
      </c>
      <c r="O55" s="13">
        <v>0</v>
      </c>
      <c r="P55" s="13">
        <v>0</v>
      </c>
      <c r="Q55" s="13">
        <v>0</v>
      </c>
      <c r="R55" s="13">
        <v>0</v>
      </c>
      <c r="S55" s="12">
        <f>SUM(G55:R55)</f>
        <v>0</v>
      </c>
      <c r="U55" s="13">
        <f t="shared" si="13"/>
        <v>0</v>
      </c>
      <c r="V55" s="13">
        <f t="shared" si="14"/>
        <v>0</v>
      </c>
      <c r="W55" s="13">
        <f t="shared" si="15"/>
        <v>0</v>
      </c>
      <c r="X55" s="13">
        <f>J55/$D55</f>
        <v>0</v>
      </c>
      <c r="Y55" s="13">
        <f>K55/$D55</f>
        <v>0</v>
      </c>
      <c r="Z55" s="13">
        <f>L55/$D55</f>
        <v>0</v>
      </c>
      <c r="AA55" s="13">
        <f>M55/$D55</f>
        <v>0</v>
      </c>
      <c r="AB55" s="13">
        <f>N55/$D55</f>
        <v>0</v>
      </c>
      <c r="AC55" s="13">
        <f t="shared" si="7"/>
        <v>0</v>
      </c>
      <c r="AD55" s="13">
        <f t="shared" si="8"/>
        <v>0</v>
      </c>
      <c r="AE55" s="13">
        <f t="shared" si="9"/>
        <v>0</v>
      </c>
      <c r="AF55" s="13">
        <f t="shared" si="10"/>
        <v>0</v>
      </c>
      <c r="AG55" s="15">
        <f>IFERROR(AVERAGE(U55:AF55),0)</f>
        <v>0</v>
      </c>
      <c r="AH55" s="15">
        <f>SUM(U55:AF55)</f>
        <v>0</v>
      </c>
    </row>
    <row r="56" spans="1:34" ht="12.75" x14ac:dyDescent="0.2">
      <c r="A56" s="58" t="s">
        <v>1093</v>
      </c>
      <c r="B56" s="58" t="s">
        <v>96</v>
      </c>
      <c r="C56" s="307">
        <v>3.03</v>
      </c>
      <c r="D56" s="307">
        <v>2.2050000000000001</v>
      </c>
      <c r="E56" s="307">
        <v>2.2050000000000001</v>
      </c>
      <c r="F56" s="308">
        <v>19</v>
      </c>
      <c r="G56" s="12">
        <v>0</v>
      </c>
      <c r="H56" s="12">
        <v>0</v>
      </c>
      <c r="I56" s="12">
        <v>0</v>
      </c>
      <c r="J56" s="12">
        <v>0</v>
      </c>
      <c r="K56" s="12">
        <v>0</v>
      </c>
      <c r="L56" s="12">
        <v>0</v>
      </c>
      <c r="M56" s="12">
        <v>4.4000000000000004</v>
      </c>
      <c r="N56" s="13">
        <v>35.28</v>
      </c>
      <c r="O56" s="13">
        <v>35.28</v>
      </c>
      <c r="P56" s="13">
        <v>35.28</v>
      </c>
      <c r="Q56" s="13">
        <v>52.92</v>
      </c>
      <c r="R56" s="13">
        <v>52.92</v>
      </c>
      <c r="S56" s="12">
        <f t="shared" si="27"/>
        <v>216.08000000000004</v>
      </c>
      <c r="U56" s="13">
        <f t="shared" si="13"/>
        <v>0</v>
      </c>
      <c r="V56" s="13">
        <f t="shared" si="14"/>
        <v>0</v>
      </c>
      <c r="W56" s="13">
        <f t="shared" si="15"/>
        <v>0</v>
      </c>
      <c r="X56" s="13">
        <f t="shared" si="30"/>
        <v>0</v>
      </c>
      <c r="Y56" s="13">
        <f t="shared" si="31"/>
        <v>0</v>
      </c>
      <c r="Z56" s="13">
        <f t="shared" si="32"/>
        <v>0</v>
      </c>
      <c r="AA56" s="13">
        <f t="shared" si="33"/>
        <v>1.9954648526077099</v>
      </c>
      <c r="AB56" s="13">
        <f t="shared" si="34"/>
        <v>16</v>
      </c>
      <c r="AC56" s="13">
        <f t="shared" si="7"/>
        <v>16</v>
      </c>
      <c r="AD56" s="13">
        <f t="shared" si="8"/>
        <v>16</v>
      </c>
      <c r="AE56" s="13">
        <f t="shared" si="9"/>
        <v>24</v>
      </c>
      <c r="AF56" s="13">
        <f t="shared" si="10"/>
        <v>24</v>
      </c>
      <c r="AG56" s="15">
        <f t="shared" si="28"/>
        <v>8.1662887377173092</v>
      </c>
      <c r="AH56" s="15">
        <f t="shared" si="29"/>
        <v>97.995464852607711</v>
      </c>
    </row>
    <row r="57" spans="1:34" ht="12.75" x14ac:dyDescent="0.2">
      <c r="A57" s="58" t="s">
        <v>68</v>
      </c>
      <c r="B57" s="58" t="s">
        <v>100</v>
      </c>
      <c r="C57" s="307">
        <v>8.49</v>
      </c>
      <c r="D57" s="307">
        <v>8.44</v>
      </c>
      <c r="E57" s="307">
        <v>8.44</v>
      </c>
      <c r="F57" s="308">
        <v>19</v>
      </c>
      <c r="G57" s="12">
        <v>1135.53</v>
      </c>
      <c r="H57" s="12">
        <v>-4.5599999999999996</v>
      </c>
      <c r="I57" s="12">
        <v>1141.9000000000001</v>
      </c>
      <c r="J57" s="12">
        <v>2.12</v>
      </c>
      <c r="K57" s="12">
        <v>1174.53</v>
      </c>
      <c r="L57" s="12">
        <v>0</v>
      </c>
      <c r="M57" s="12">
        <v>1249.1199999999999</v>
      </c>
      <c r="N57" s="13">
        <v>0</v>
      </c>
      <c r="O57" s="13">
        <v>1259.5100000000002</v>
      </c>
      <c r="P57" s="13">
        <v>-8.44</v>
      </c>
      <c r="Q57" s="13">
        <v>1263.8900000000001</v>
      </c>
      <c r="R57" s="13">
        <v>0</v>
      </c>
      <c r="S57" s="12">
        <f t="shared" si="27"/>
        <v>7213.6</v>
      </c>
      <c r="U57" s="13">
        <f t="shared" si="13"/>
        <v>133.74911660777386</v>
      </c>
      <c r="V57" s="13">
        <f t="shared" si="14"/>
        <v>-0.53710247349823315</v>
      </c>
      <c r="W57" s="13">
        <f t="shared" si="15"/>
        <v>134.49941107184924</v>
      </c>
      <c r="X57" s="13">
        <f t="shared" si="30"/>
        <v>0.25118483412322279</v>
      </c>
      <c r="Y57" s="13">
        <f t="shared" si="31"/>
        <v>139.16232227488152</v>
      </c>
      <c r="Z57" s="13">
        <f t="shared" si="32"/>
        <v>0</v>
      </c>
      <c r="AA57" s="13">
        <f t="shared" si="33"/>
        <v>148</v>
      </c>
      <c r="AB57" s="13">
        <f t="shared" si="34"/>
        <v>0</v>
      </c>
      <c r="AC57" s="13">
        <f t="shared" si="7"/>
        <v>149.23104265402847</v>
      </c>
      <c r="AD57" s="13">
        <f t="shared" si="8"/>
        <v>-1</v>
      </c>
      <c r="AE57" s="13">
        <f t="shared" si="9"/>
        <v>149.75000000000003</v>
      </c>
      <c r="AF57" s="13">
        <f t="shared" si="10"/>
        <v>0</v>
      </c>
      <c r="AG57" s="15">
        <f t="shared" si="28"/>
        <v>71.092164580763168</v>
      </c>
      <c r="AH57" s="15">
        <f t="shared" si="29"/>
        <v>853.10597496915807</v>
      </c>
    </row>
    <row r="58" spans="1:34" ht="12.75" x14ac:dyDescent="0.2">
      <c r="A58" s="58" t="s">
        <v>1213</v>
      </c>
      <c r="B58" s="58" t="s">
        <v>1214</v>
      </c>
      <c r="C58" s="307">
        <v>4.25</v>
      </c>
      <c r="D58" s="307">
        <v>4.2300000000000004</v>
      </c>
      <c r="E58" s="307">
        <v>4.2300000000000004</v>
      </c>
      <c r="F58" s="308">
        <v>19</v>
      </c>
      <c r="G58" s="12">
        <v>0</v>
      </c>
      <c r="H58" s="12">
        <v>0</v>
      </c>
      <c r="I58" s="12">
        <v>0</v>
      </c>
      <c r="J58" s="12">
        <v>0</v>
      </c>
      <c r="K58" s="12">
        <v>0</v>
      </c>
      <c r="L58" s="12">
        <v>0</v>
      </c>
      <c r="M58" s="12">
        <v>0</v>
      </c>
      <c r="N58" s="13">
        <v>0</v>
      </c>
      <c r="O58" s="13">
        <v>0</v>
      </c>
      <c r="P58" s="13">
        <v>0</v>
      </c>
      <c r="Q58" s="13">
        <v>0</v>
      </c>
      <c r="R58" s="13">
        <v>0</v>
      </c>
      <c r="S58" s="12">
        <f t="shared" si="27"/>
        <v>0</v>
      </c>
      <c r="U58" s="13">
        <f t="shared" si="13"/>
        <v>0</v>
      </c>
      <c r="V58" s="13">
        <f t="shared" si="14"/>
        <v>0</v>
      </c>
      <c r="W58" s="13">
        <f t="shared" si="15"/>
        <v>0</v>
      </c>
      <c r="X58" s="13">
        <f t="shared" si="30"/>
        <v>0</v>
      </c>
      <c r="Y58" s="13">
        <f t="shared" si="31"/>
        <v>0</v>
      </c>
      <c r="Z58" s="13">
        <f t="shared" si="32"/>
        <v>0</v>
      </c>
      <c r="AA58" s="13">
        <f t="shared" si="33"/>
        <v>0</v>
      </c>
      <c r="AB58" s="13">
        <f t="shared" si="34"/>
        <v>0</v>
      </c>
      <c r="AC58" s="13">
        <f t="shared" si="7"/>
        <v>0</v>
      </c>
      <c r="AD58" s="13">
        <f t="shared" si="8"/>
        <v>0</v>
      </c>
      <c r="AE58" s="13">
        <f t="shared" si="9"/>
        <v>0</v>
      </c>
      <c r="AF58" s="13">
        <f t="shared" si="10"/>
        <v>0</v>
      </c>
      <c r="AG58" s="15">
        <f t="shared" si="28"/>
        <v>0</v>
      </c>
      <c r="AH58" s="15">
        <f t="shared" si="29"/>
        <v>0</v>
      </c>
    </row>
    <row r="59" spans="1:34" ht="12.75" x14ac:dyDescent="0.2">
      <c r="A59" s="58" t="s">
        <v>69</v>
      </c>
      <c r="B59" s="58" t="s">
        <v>101</v>
      </c>
      <c r="C59" s="307">
        <v>11.37</v>
      </c>
      <c r="D59" s="307">
        <v>11.31</v>
      </c>
      <c r="E59" s="307">
        <v>11.31</v>
      </c>
      <c r="F59" s="308">
        <v>15</v>
      </c>
      <c r="G59" s="12">
        <v>3604.29</v>
      </c>
      <c r="H59" s="12">
        <v>909.6</v>
      </c>
      <c r="I59" s="12">
        <v>3854.43</v>
      </c>
      <c r="J59" s="12">
        <v>795.9</v>
      </c>
      <c r="K59" s="12">
        <v>3104.01</v>
      </c>
      <c r="L59" s="12">
        <v>939.15</v>
      </c>
      <c r="M59" s="12">
        <v>3947.1299999999992</v>
      </c>
      <c r="N59" s="13">
        <v>667.2299999999999</v>
      </c>
      <c r="O59" s="13">
        <v>3483.4799999999996</v>
      </c>
      <c r="P59" s="13">
        <v>803.01</v>
      </c>
      <c r="Q59" s="13">
        <v>5236.5300000000007</v>
      </c>
      <c r="R59" s="13">
        <v>814.31999999999982</v>
      </c>
      <c r="S59" s="12">
        <f t="shared" si="27"/>
        <v>28159.079999999994</v>
      </c>
      <c r="U59" s="13">
        <f t="shared" si="13"/>
        <v>317</v>
      </c>
      <c r="V59" s="13">
        <f t="shared" si="14"/>
        <v>80.000000000000014</v>
      </c>
      <c r="W59" s="13">
        <f t="shared" si="15"/>
        <v>339</v>
      </c>
      <c r="X59" s="13">
        <f t="shared" si="30"/>
        <v>70.371352785145888</v>
      </c>
      <c r="Y59" s="13">
        <f t="shared" si="31"/>
        <v>274.44827586206895</v>
      </c>
      <c r="Z59" s="13">
        <f t="shared" si="32"/>
        <v>83.037135278514583</v>
      </c>
      <c r="AA59" s="13">
        <f t="shared" si="33"/>
        <v>348.99469496021214</v>
      </c>
      <c r="AB59" s="13">
        <f t="shared" si="34"/>
        <v>58.994694960212193</v>
      </c>
      <c r="AC59" s="13">
        <f t="shared" si="7"/>
        <v>307.99999999999994</v>
      </c>
      <c r="AD59" s="13">
        <f t="shared" si="8"/>
        <v>71</v>
      </c>
      <c r="AE59" s="13">
        <f t="shared" si="9"/>
        <v>463.00000000000006</v>
      </c>
      <c r="AF59" s="13">
        <f t="shared" si="10"/>
        <v>71.999999999999986</v>
      </c>
      <c r="AG59" s="15">
        <f t="shared" si="28"/>
        <v>207.15384615384616</v>
      </c>
      <c r="AH59" s="15">
        <f t="shared" si="29"/>
        <v>2485.8461538461538</v>
      </c>
    </row>
    <row r="60" spans="1:34" ht="12.75" x14ac:dyDescent="0.2">
      <c r="A60" s="58" t="s">
        <v>70</v>
      </c>
      <c r="B60" s="58" t="s">
        <v>102</v>
      </c>
      <c r="C60" s="307">
        <v>1.81</v>
      </c>
      <c r="D60" s="307">
        <v>1.8</v>
      </c>
      <c r="E60" s="307">
        <v>1.8</v>
      </c>
      <c r="F60" s="308">
        <v>29</v>
      </c>
      <c r="G60" s="12">
        <v>0</v>
      </c>
      <c r="H60" s="12">
        <v>0</v>
      </c>
      <c r="I60" s="12">
        <v>27.15</v>
      </c>
      <c r="J60" s="12">
        <v>0</v>
      </c>
      <c r="K60" s="12">
        <v>27.15</v>
      </c>
      <c r="L60" s="12">
        <v>0</v>
      </c>
      <c r="M60" s="12">
        <v>81</v>
      </c>
      <c r="N60" s="13">
        <v>27</v>
      </c>
      <c r="O60" s="13">
        <v>0</v>
      </c>
      <c r="P60" s="13">
        <v>0</v>
      </c>
      <c r="Q60" s="13">
        <v>27</v>
      </c>
      <c r="R60" s="13">
        <v>0</v>
      </c>
      <c r="S60" s="12">
        <f t="shared" si="27"/>
        <v>189.3</v>
      </c>
      <c r="U60" s="13">
        <f t="shared" si="13"/>
        <v>0</v>
      </c>
      <c r="V60" s="13">
        <f t="shared" si="14"/>
        <v>0</v>
      </c>
      <c r="W60" s="13">
        <f t="shared" si="15"/>
        <v>14.999999999999998</v>
      </c>
      <c r="X60" s="13">
        <f t="shared" si="30"/>
        <v>0</v>
      </c>
      <c r="Y60" s="13">
        <f t="shared" si="31"/>
        <v>15.083333333333332</v>
      </c>
      <c r="Z60" s="13">
        <f t="shared" si="32"/>
        <v>0</v>
      </c>
      <c r="AA60" s="13">
        <f t="shared" si="33"/>
        <v>45</v>
      </c>
      <c r="AB60" s="13">
        <f t="shared" si="34"/>
        <v>15</v>
      </c>
      <c r="AC60" s="13">
        <f t="shared" si="7"/>
        <v>0</v>
      </c>
      <c r="AD60" s="13">
        <f t="shared" si="8"/>
        <v>0</v>
      </c>
      <c r="AE60" s="13">
        <f t="shared" si="9"/>
        <v>15</v>
      </c>
      <c r="AF60" s="13">
        <f t="shared" si="10"/>
        <v>0</v>
      </c>
      <c r="AG60" s="15">
        <f t="shared" si="28"/>
        <v>8.7569444444444446</v>
      </c>
      <c r="AH60" s="15">
        <f t="shared" si="29"/>
        <v>105.08333333333333</v>
      </c>
    </row>
    <row r="61" spans="1:34" ht="12.75" x14ac:dyDescent="0.2">
      <c r="A61" s="58" t="s">
        <v>71</v>
      </c>
      <c r="B61" s="58" t="s">
        <v>103</v>
      </c>
      <c r="C61" s="307">
        <v>2.68</v>
      </c>
      <c r="D61" s="307">
        <v>2.67</v>
      </c>
      <c r="E61" s="307">
        <v>2.67</v>
      </c>
      <c r="F61" s="308">
        <v>29</v>
      </c>
      <c r="G61" s="12">
        <v>0</v>
      </c>
      <c r="H61" s="12">
        <v>40.200000000000003</v>
      </c>
      <c r="I61" s="12">
        <v>0</v>
      </c>
      <c r="J61" s="12">
        <v>0</v>
      </c>
      <c r="K61" s="12">
        <v>80.400000000000006</v>
      </c>
      <c r="L61" s="12">
        <v>-80.400000000000006</v>
      </c>
      <c r="M61" s="12">
        <v>0</v>
      </c>
      <c r="N61" s="13">
        <v>0</v>
      </c>
      <c r="O61" s="13">
        <v>0</v>
      </c>
      <c r="P61" s="13">
        <v>0</v>
      </c>
      <c r="Q61" s="13">
        <v>0</v>
      </c>
      <c r="R61" s="13">
        <v>0</v>
      </c>
      <c r="S61" s="12">
        <f t="shared" si="27"/>
        <v>40.200000000000003</v>
      </c>
      <c r="U61" s="13">
        <f t="shared" si="13"/>
        <v>0</v>
      </c>
      <c r="V61" s="13">
        <f t="shared" si="14"/>
        <v>15</v>
      </c>
      <c r="W61" s="13">
        <f t="shared" si="15"/>
        <v>0</v>
      </c>
      <c r="X61" s="13">
        <f t="shared" si="30"/>
        <v>0</v>
      </c>
      <c r="Y61" s="13">
        <f t="shared" si="31"/>
        <v>30.112359550561802</v>
      </c>
      <c r="Z61" s="13">
        <f t="shared" si="32"/>
        <v>-30.112359550561802</v>
      </c>
      <c r="AA61" s="13">
        <f t="shared" si="33"/>
        <v>0</v>
      </c>
      <c r="AB61" s="13">
        <f t="shared" si="34"/>
        <v>0</v>
      </c>
      <c r="AC61" s="13">
        <f t="shared" si="7"/>
        <v>0</v>
      </c>
      <c r="AD61" s="13">
        <f t="shared" si="8"/>
        <v>0</v>
      </c>
      <c r="AE61" s="13">
        <f t="shared" si="9"/>
        <v>0</v>
      </c>
      <c r="AF61" s="13">
        <f t="shared" si="10"/>
        <v>0</v>
      </c>
      <c r="AG61" s="15">
        <f t="shared" si="28"/>
        <v>1.2500000000000002</v>
      </c>
      <c r="AH61" s="15">
        <f t="shared" si="29"/>
        <v>15.000000000000004</v>
      </c>
    </row>
    <row r="62" spans="1:34" ht="12.75" x14ac:dyDescent="0.2">
      <c r="A62" s="58" t="s">
        <v>72</v>
      </c>
      <c r="B62" s="58" t="s">
        <v>104</v>
      </c>
      <c r="C62" s="307">
        <v>0.56999999999999995</v>
      </c>
      <c r="D62" s="307">
        <v>0.56499999999999995</v>
      </c>
      <c r="E62" s="307">
        <v>0.56999999999999995</v>
      </c>
      <c r="F62" s="308">
        <v>29</v>
      </c>
      <c r="G62" s="12">
        <v>855</v>
      </c>
      <c r="H62" s="12">
        <v>1415.1</v>
      </c>
      <c r="I62" s="12">
        <v>1812.6</v>
      </c>
      <c r="J62" s="12">
        <v>820.80000000000007</v>
      </c>
      <c r="K62" s="12">
        <v>1197</v>
      </c>
      <c r="L62" s="12">
        <v>1186.8</v>
      </c>
      <c r="M62" s="12">
        <v>864.44999999999993</v>
      </c>
      <c r="N62" s="13">
        <v>881.4</v>
      </c>
      <c r="O62" s="13">
        <v>1084.8000000000002</v>
      </c>
      <c r="P62" s="13">
        <v>2983.2000000000003</v>
      </c>
      <c r="Q62" s="13">
        <v>7017.3</v>
      </c>
      <c r="R62" s="13">
        <v>4881.5999999999995</v>
      </c>
      <c r="S62" s="12">
        <f t="shared" si="27"/>
        <v>25000.05</v>
      </c>
      <c r="U62" s="13">
        <f t="shared" si="13"/>
        <v>1500.0000000000002</v>
      </c>
      <c r="V62" s="13">
        <f t="shared" si="14"/>
        <v>2482.6315789473683</v>
      </c>
      <c r="W62" s="13">
        <f t="shared" si="15"/>
        <v>3180</v>
      </c>
      <c r="X62" s="13">
        <f t="shared" si="30"/>
        <v>1452.7433628318586</v>
      </c>
      <c r="Y62" s="13">
        <f t="shared" si="31"/>
        <v>2118.5840707964603</v>
      </c>
      <c r="Z62" s="13">
        <f t="shared" si="32"/>
        <v>2100.5309734513276</v>
      </c>
      <c r="AA62" s="13">
        <f t="shared" si="33"/>
        <v>1530</v>
      </c>
      <c r="AB62" s="13">
        <f t="shared" si="34"/>
        <v>1560</v>
      </c>
      <c r="AC62" s="13">
        <f t="shared" si="7"/>
        <v>1903.1578947368425</v>
      </c>
      <c r="AD62" s="13">
        <f t="shared" si="8"/>
        <v>5233.6842105263167</v>
      </c>
      <c r="AE62" s="13">
        <f t="shared" si="9"/>
        <v>12311.052631578948</v>
      </c>
      <c r="AF62" s="13">
        <f t="shared" si="10"/>
        <v>8564.21052631579</v>
      </c>
      <c r="AG62" s="15">
        <f t="shared" si="28"/>
        <v>3661.3829374320762</v>
      </c>
      <c r="AH62" s="15">
        <f t="shared" si="29"/>
        <v>43936.595249184917</v>
      </c>
    </row>
    <row r="63" spans="1:34" ht="12.75" x14ac:dyDescent="0.2">
      <c r="A63" s="58" t="s">
        <v>1211</v>
      </c>
      <c r="B63" s="58" t="s">
        <v>1212</v>
      </c>
      <c r="C63" s="307">
        <v>7.19</v>
      </c>
      <c r="D63" s="307">
        <v>7.1449999999999987</v>
      </c>
      <c r="E63" s="307">
        <v>7.1449999999999996</v>
      </c>
      <c r="F63" s="308">
        <v>35</v>
      </c>
      <c r="G63" s="12">
        <v>28.76</v>
      </c>
      <c r="H63" s="12">
        <v>0</v>
      </c>
      <c r="I63" s="12">
        <v>28.76</v>
      </c>
      <c r="J63" s="12">
        <v>0</v>
      </c>
      <c r="K63" s="12">
        <v>28.68</v>
      </c>
      <c r="L63" s="12">
        <v>0</v>
      </c>
      <c r="M63" s="12">
        <v>50.019999999999996</v>
      </c>
      <c r="N63" s="13">
        <v>0</v>
      </c>
      <c r="O63" s="13">
        <v>42.87</v>
      </c>
      <c r="P63" s="13">
        <v>0</v>
      </c>
      <c r="Q63" s="13">
        <v>42.87</v>
      </c>
      <c r="R63" s="13">
        <v>0</v>
      </c>
      <c r="S63" s="12">
        <f t="shared" si="27"/>
        <v>221.96</v>
      </c>
      <c r="U63" s="13">
        <f t="shared" si="13"/>
        <v>4</v>
      </c>
      <c r="V63" s="13">
        <f t="shared" si="14"/>
        <v>0</v>
      </c>
      <c r="W63" s="13">
        <f t="shared" si="15"/>
        <v>4</v>
      </c>
      <c r="X63" s="13">
        <f t="shared" si="30"/>
        <v>0</v>
      </c>
      <c r="Y63" s="13">
        <f t="shared" si="31"/>
        <v>4.0139958012596226</v>
      </c>
      <c r="Z63" s="13">
        <f t="shared" si="32"/>
        <v>0</v>
      </c>
      <c r="AA63" s="13">
        <f t="shared" si="33"/>
        <v>7.0006997900629822</v>
      </c>
      <c r="AB63" s="13">
        <f t="shared" si="34"/>
        <v>0</v>
      </c>
      <c r="AC63" s="13">
        <f t="shared" si="7"/>
        <v>6</v>
      </c>
      <c r="AD63" s="13">
        <f t="shared" si="8"/>
        <v>0</v>
      </c>
      <c r="AE63" s="13">
        <f t="shared" si="9"/>
        <v>6</v>
      </c>
      <c r="AF63" s="13">
        <f t="shared" si="10"/>
        <v>0</v>
      </c>
      <c r="AG63" s="15">
        <f t="shared" si="28"/>
        <v>2.5845579659435503</v>
      </c>
      <c r="AH63" s="15">
        <f t="shared" si="29"/>
        <v>31.014695591322603</v>
      </c>
    </row>
    <row r="64" spans="1:34" ht="12.75" x14ac:dyDescent="0.2">
      <c r="A64" s="58" t="s">
        <v>74</v>
      </c>
      <c r="B64" s="58" t="s">
        <v>106</v>
      </c>
      <c r="C64" s="307">
        <v>11.93</v>
      </c>
      <c r="D64" s="307">
        <v>11.87</v>
      </c>
      <c r="E64" s="307">
        <v>11.87</v>
      </c>
      <c r="F64" s="308">
        <v>17</v>
      </c>
      <c r="G64" s="12">
        <v>107.37</v>
      </c>
      <c r="H64" s="12">
        <v>23.86</v>
      </c>
      <c r="I64" s="12">
        <v>140.02000000000001</v>
      </c>
      <c r="J64" s="12">
        <v>155.09</v>
      </c>
      <c r="K64" s="12">
        <v>238.6</v>
      </c>
      <c r="L64" s="12">
        <v>106.83</v>
      </c>
      <c r="M64" s="12">
        <v>201.79000000000002</v>
      </c>
      <c r="N64" s="13">
        <v>249.27</v>
      </c>
      <c r="O64" s="13">
        <v>178.05</v>
      </c>
      <c r="P64" s="13">
        <v>118.7</v>
      </c>
      <c r="Q64" s="13">
        <v>130.57</v>
      </c>
      <c r="R64" s="13">
        <v>118.7</v>
      </c>
      <c r="S64" s="12">
        <f t="shared" si="27"/>
        <v>1768.8500000000001</v>
      </c>
      <c r="U64" s="13">
        <f t="shared" si="13"/>
        <v>9</v>
      </c>
      <c r="V64" s="13">
        <f t="shared" si="14"/>
        <v>2</v>
      </c>
      <c r="W64" s="13">
        <f t="shared" si="15"/>
        <v>11.736797988264879</v>
      </c>
      <c r="X64" s="13">
        <f t="shared" si="30"/>
        <v>13.065711878685764</v>
      </c>
      <c r="Y64" s="13">
        <f t="shared" si="31"/>
        <v>20.101095197978097</v>
      </c>
      <c r="Z64" s="13">
        <f t="shared" si="32"/>
        <v>9</v>
      </c>
      <c r="AA64" s="13">
        <f t="shared" si="33"/>
        <v>17.000000000000004</v>
      </c>
      <c r="AB64" s="13">
        <f t="shared" si="34"/>
        <v>21.000000000000004</v>
      </c>
      <c r="AC64" s="13">
        <f t="shared" si="7"/>
        <v>15.000000000000002</v>
      </c>
      <c r="AD64" s="13">
        <f t="shared" si="8"/>
        <v>10.000000000000002</v>
      </c>
      <c r="AE64" s="13">
        <f t="shared" si="9"/>
        <v>11</v>
      </c>
      <c r="AF64" s="13">
        <f t="shared" si="10"/>
        <v>10.000000000000002</v>
      </c>
      <c r="AG64" s="15">
        <f t="shared" si="28"/>
        <v>12.408633755410728</v>
      </c>
      <c r="AH64" s="15">
        <f t="shared" si="29"/>
        <v>148.90360506492874</v>
      </c>
    </row>
    <row r="65" spans="1:41" ht="12.75" x14ac:dyDescent="0.2">
      <c r="A65" s="58" t="s">
        <v>75</v>
      </c>
      <c r="B65" s="58" t="s">
        <v>107</v>
      </c>
      <c r="C65" s="11">
        <v>19.239999999999998</v>
      </c>
      <c r="D65" s="11">
        <v>19.149999999999999</v>
      </c>
      <c r="E65" s="11">
        <v>19.420000000000002</v>
      </c>
      <c r="F65" s="248">
        <v>28</v>
      </c>
      <c r="G65" s="12">
        <v>5177.5600000000004</v>
      </c>
      <c r="H65" s="12">
        <v>10755.16</v>
      </c>
      <c r="I65" s="12">
        <v>8280.2000000000007</v>
      </c>
      <c r="J65" s="12">
        <v>5252.5199999999995</v>
      </c>
      <c r="K65" s="12">
        <v>6118.3200000000006</v>
      </c>
      <c r="L65" s="12">
        <v>4002.3500000000004</v>
      </c>
      <c r="M65" s="12">
        <v>4519.22</v>
      </c>
      <c r="N65" s="13">
        <v>4347.05</v>
      </c>
      <c r="O65" s="13">
        <v>4117.25</v>
      </c>
      <c r="P65" s="13">
        <v>3452.6200000000003</v>
      </c>
      <c r="Q65" s="13">
        <v>4428.03</v>
      </c>
      <c r="R65" s="13">
        <v>1708.9599999999998</v>
      </c>
      <c r="S65" s="12">
        <f t="shared" ref="S65:S70" si="35">SUM(G65:R65)</f>
        <v>62159.240000000005</v>
      </c>
      <c r="U65" s="13">
        <f t="shared" si="13"/>
        <v>269.10395010395013</v>
      </c>
      <c r="V65" s="13">
        <f t="shared" si="14"/>
        <v>559</v>
      </c>
      <c r="W65" s="13">
        <f t="shared" si="15"/>
        <v>430.36382536382541</v>
      </c>
      <c r="X65" s="13">
        <f t="shared" ref="X65:AB70" si="36">J65/$D65</f>
        <v>274.28302872062665</v>
      </c>
      <c r="Y65" s="13">
        <f t="shared" si="36"/>
        <v>319.49451697127944</v>
      </c>
      <c r="Z65" s="13">
        <f t="shared" si="36"/>
        <v>209.00000000000003</v>
      </c>
      <c r="AA65" s="13">
        <f t="shared" si="36"/>
        <v>235.99060052219323</v>
      </c>
      <c r="AB65" s="13">
        <f t="shared" si="36"/>
        <v>227.00000000000003</v>
      </c>
      <c r="AC65" s="13">
        <f t="shared" si="7"/>
        <v>212.01081359423273</v>
      </c>
      <c r="AD65" s="13">
        <f t="shared" si="8"/>
        <v>177.78681771369722</v>
      </c>
      <c r="AE65" s="13">
        <f t="shared" si="9"/>
        <v>228.01390319258493</v>
      </c>
      <c r="AF65" s="13">
        <f t="shared" si="10"/>
        <v>87.999999999999986</v>
      </c>
      <c r="AG65" s="15">
        <f>IFERROR(AVERAGE(U65:AF65),0)</f>
        <v>269.17062134853251</v>
      </c>
      <c r="AH65" s="15">
        <f>SUM(U65:AF65)</f>
        <v>3230.0474561823899</v>
      </c>
    </row>
    <row r="66" spans="1:41" ht="12.75" x14ac:dyDescent="0.2">
      <c r="A66" s="58" t="s">
        <v>76</v>
      </c>
      <c r="B66" s="58" t="s">
        <v>108</v>
      </c>
      <c r="C66" s="11">
        <v>19.239999999999998</v>
      </c>
      <c r="D66" s="11">
        <v>19.149999999999999</v>
      </c>
      <c r="E66" s="11">
        <v>19.420000000000002</v>
      </c>
      <c r="F66" s="248">
        <v>28</v>
      </c>
      <c r="G66" s="12">
        <v>1462.24</v>
      </c>
      <c r="H66" s="12">
        <v>2251.08</v>
      </c>
      <c r="I66" s="12">
        <v>2270.3200000000002</v>
      </c>
      <c r="J66" s="12">
        <v>1539.1999999999998</v>
      </c>
      <c r="K66" s="12">
        <v>1038.96</v>
      </c>
      <c r="L66" s="12">
        <v>900.05</v>
      </c>
      <c r="M66" s="12">
        <v>1244.75</v>
      </c>
      <c r="N66" s="13">
        <v>1162.6399999999999</v>
      </c>
      <c r="O66" s="13">
        <v>900.05000000000007</v>
      </c>
      <c r="P66" s="13">
        <v>775.45</v>
      </c>
      <c r="Q66" s="13">
        <v>932.16000000000008</v>
      </c>
      <c r="R66" s="13">
        <v>485.50000000000006</v>
      </c>
      <c r="S66" s="12">
        <f t="shared" si="35"/>
        <v>14962.399999999998</v>
      </c>
      <c r="U66" s="13">
        <f t="shared" si="13"/>
        <v>76</v>
      </c>
      <c r="V66" s="13">
        <f t="shared" si="14"/>
        <v>117</v>
      </c>
      <c r="W66" s="13">
        <f t="shared" si="15"/>
        <v>118.00000000000001</v>
      </c>
      <c r="X66" s="13">
        <f t="shared" si="36"/>
        <v>80.375979112271537</v>
      </c>
      <c r="Y66" s="13">
        <f t="shared" si="36"/>
        <v>54.253785900783299</v>
      </c>
      <c r="Z66" s="13">
        <f t="shared" si="36"/>
        <v>47</v>
      </c>
      <c r="AA66" s="13">
        <f t="shared" si="36"/>
        <v>65</v>
      </c>
      <c r="AB66" s="13">
        <f t="shared" si="36"/>
        <v>60.71227154046997</v>
      </c>
      <c r="AC66" s="13">
        <f t="shared" si="7"/>
        <v>46.346549948506691</v>
      </c>
      <c r="AD66" s="13">
        <f t="shared" si="8"/>
        <v>39.930484037075182</v>
      </c>
      <c r="AE66" s="13">
        <f t="shared" si="9"/>
        <v>48</v>
      </c>
      <c r="AF66" s="13">
        <f t="shared" si="10"/>
        <v>25</v>
      </c>
      <c r="AG66" s="15">
        <f>IFERROR(AVERAGE(U66:AF66),0)</f>
        <v>64.801589211592216</v>
      </c>
      <c r="AH66" s="15">
        <f>SUM(U66:AF66)</f>
        <v>777.61907053910659</v>
      </c>
    </row>
    <row r="67" spans="1:41" ht="12.75" x14ac:dyDescent="0.2">
      <c r="A67" s="58" t="s">
        <v>749</v>
      </c>
      <c r="B67" s="58" t="s">
        <v>774</v>
      </c>
      <c r="C67" s="11">
        <v>5.33</v>
      </c>
      <c r="D67" s="11">
        <v>19.149999999999999</v>
      </c>
      <c r="E67" s="11">
        <v>19.420000000000002</v>
      </c>
      <c r="F67" s="248">
        <v>34</v>
      </c>
      <c r="G67" s="12">
        <v>0</v>
      </c>
      <c r="H67" s="12">
        <v>26.65</v>
      </c>
      <c r="I67" s="12">
        <v>21.32</v>
      </c>
      <c r="J67" s="12">
        <v>10.66</v>
      </c>
      <c r="K67" s="12">
        <v>31.98</v>
      </c>
      <c r="L67" s="12">
        <v>5.33</v>
      </c>
      <c r="M67" s="12">
        <v>15.99</v>
      </c>
      <c r="N67" s="13">
        <v>15.99</v>
      </c>
      <c r="O67" s="13">
        <v>21.32</v>
      </c>
      <c r="P67" s="13">
        <v>0</v>
      </c>
      <c r="Q67" s="13">
        <v>0</v>
      </c>
      <c r="R67" s="13">
        <v>19.420000000000002</v>
      </c>
      <c r="S67" s="12">
        <f t="shared" si="35"/>
        <v>168.65999999999997</v>
      </c>
      <c r="U67" s="13">
        <f t="shared" si="13"/>
        <v>0</v>
      </c>
      <c r="V67" s="13">
        <f t="shared" si="14"/>
        <v>5</v>
      </c>
      <c r="W67" s="13">
        <f t="shared" si="15"/>
        <v>4</v>
      </c>
      <c r="X67" s="13">
        <f t="shared" si="36"/>
        <v>0.55665796344647522</v>
      </c>
      <c r="Y67" s="13">
        <f t="shared" si="36"/>
        <v>1.6699738903394257</v>
      </c>
      <c r="Z67" s="13">
        <f t="shared" si="36"/>
        <v>0.27832898172323761</v>
      </c>
      <c r="AA67" s="13">
        <f t="shared" si="36"/>
        <v>0.83498694516971284</v>
      </c>
      <c r="AB67" s="13">
        <f t="shared" si="36"/>
        <v>0.83498694516971284</v>
      </c>
      <c r="AC67" s="13">
        <f t="shared" si="7"/>
        <v>1.09783728115345</v>
      </c>
      <c r="AD67" s="13">
        <f t="shared" si="8"/>
        <v>0</v>
      </c>
      <c r="AE67" s="13">
        <f t="shared" si="9"/>
        <v>0</v>
      </c>
      <c r="AF67" s="13">
        <f t="shared" si="10"/>
        <v>1</v>
      </c>
      <c r="AG67" s="15">
        <f>IFERROR(AVERAGE(U67:AF67),0)</f>
        <v>1.2727310005835013</v>
      </c>
      <c r="AH67" s="15">
        <f>SUM(U67:AF67)</f>
        <v>15.272772007002015</v>
      </c>
    </row>
    <row r="68" spans="1:41" ht="12.75" x14ac:dyDescent="0.2">
      <c r="A68" s="58" t="s">
        <v>77</v>
      </c>
      <c r="B68" s="58" t="s">
        <v>109</v>
      </c>
      <c r="C68" s="11">
        <v>19.239999999999998</v>
      </c>
      <c r="D68" s="11">
        <v>19.149999999999999</v>
      </c>
      <c r="E68" s="11">
        <v>19.420000000000002</v>
      </c>
      <c r="F68" s="248">
        <v>28</v>
      </c>
      <c r="G68" s="12">
        <v>1173.6400000000001</v>
      </c>
      <c r="H68" s="12">
        <v>1596.9199999999998</v>
      </c>
      <c r="I68" s="12">
        <v>1346.8</v>
      </c>
      <c r="J68" s="12">
        <v>1481.48</v>
      </c>
      <c r="K68" s="12">
        <v>1539.2</v>
      </c>
      <c r="L68" s="12">
        <v>1302.2900000000002</v>
      </c>
      <c r="M68" s="12">
        <v>1149.0000000000002</v>
      </c>
      <c r="N68" s="13">
        <v>1359.65</v>
      </c>
      <c r="O68" s="13">
        <v>1263.9000000000001</v>
      </c>
      <c r="P68" s="13">
        <v>678.89</v>
      </c>
      <c r="Q68" s="13">
        <v>699.39</v>
      </c>
      <c r="R68" s="13">
        <v>621.44000000000005</v>
      </c>
      <c r="S68" s="12">
        <f t="shared" si="35"/>
        <v>14212.599999999999</v>
      </c>
      <c r="U68" s="13">
        <f t="shared" si="13"/>
        <v>61.000000000000007</v>
      </c>
      <c r="V68" s="13">
        <f t="shared" si="14"/>
        <v>83</v>
      </c>
      <c r="W68" s="13">
        <f t="shared" si="15"/>
        <v>70</v>
      </c>
      <c r="X68" s="13">
        <f t="shared" si="36"/>
        <v>77.361879895561358</v>
      </c>
      <c r="Y68" s="13">
        <f t="shared" si="36"/>
        <v>80.375979112271551</v>
      </c>
      <c r="Z68" s="13">
        <f t="shared" si="36"/>
        <v>68.004699738903412</v>
      </c>
      <c r="AA68" s="13">
        <f t="shared" si="36"/>
        <v>60.000000000000014</v>
      </c>
      <c r="AB68" s="13">
        <f t="shared" si="36"/>
        <v>71.000000000000014</v>
      </c>
      <c r="AC68" s="13">
        <f t="shared" si="7"/>
        <v>65.082389289392381</v>
      </c>
      <c r="AD68" s="13">
        <f t="shared" si="8"/>
        <v>34.958290422245106</v>
      </c>
      <c r="AE68" s="13">
        <f t="shared" si="9"/>
        <v>36.013903192584962</v>
      </c>
      <c r="AF68" s="13">
        <f t="shared" si="10"/>
        <v>32</v>
      </c>
      <c r="AG68" s="15">
        <f>IFERROR(AVERAGE(U68:AF68),0)</f>
        <v>61.56642847091323</v>
      </c>
      <c r="AH68" s="15">
        <f>SUM(U68:AF68)</f>
        <v>738.79714165095879</v>
      </c>
    </row>
    <row r="69" spans="1:41" ht="12.75" x14ac:dyDescent="0.2">
      <c r="A69" s="58" t="s">
        <v>1015</v>
      </c>
      <c r="B69" s="58" t="s">
        <v>1016</v>
      </c>
      <c r="C69" s="11">
        <v>25.07</v>
      </c>
      <c r="D69" s="11">
        <v>25.07</v>
      </c>
      <c r="E69" s="11">
        <v>25.07</v>
      </c>
      <c r="F69" s="248">
        <v>14</v>
      </c>
      <c r="G69" s="12">
        <v>50.14</v>
      </c>
      <c r="H69" s="12">
        <v>0</v>
      </c>
      <c r="I69" s="12">
        <v>250.7</v>
      </c>
      <c r="J69" s="12">
        <v>50.14</v>
      </c>
      <c r="K69" s="12">
        <v>100.28</v>
      </c>
      <c r="L69" s="12">
        <v>225.56</v>
      </c>
      <c r="M69" s="13">
        <v>25.07</v>
      </c>
      <c r="N69" s="13">
        <v>175.49</v>
      </c>
      <c r="O69" s="13">
        <v>150.42000000000002</v>
      </c>
      <c r="P69" s="13">
        <v>150.35</v>
      </c>
      <c r="Q69" s="13">
        <v>50.14</v>
      </c>
      <c r="R69" s="13">
        <v>75.14</v>
      </c>
      <c r="S69" s="12">
        <f t="shared" si="35"/>
        <v>1303.43</v>
      </c>
      <c r="U69" s="1">
        <f t="shared" si="13"/>
        <v>2</v>
      </c>
      <c r="V69" s="1">
        <f t="shared" si="14"/>
        <v>0</v>
      </c>
      <c r="W69" s="1">
        <f t="shared" si="15"/>
        <v>10</v>
      </c>
      <c r="AC69" s="1">
        <f t="shared" si="7"/>
        <v>6.0000000000000009</v>
      </c>
      <c r="AD69" s="1">
        <f t="shared" si="8"/>
        <v>5.9972078181092936</v>
      </c>
      <c r="AE69" s="1">
        <f t="shared" si="9"/>
        <v>2</v>
      </c>
      <c r="AF69" s="1">
        <f t="shared" si="10"/>
        <v>2.997207818109294</v>
      </c>
    </row>
    <row r="70" spans="1:41" ht="12.75" x14ac:dyDescent="0.2">
      <c r="A70" s="58" t="s">
        <v>78</v>
      </c>
      <c r="B70" s="58" t="s">
        <v>110</v>
      </c>
      <c r="C70" s="11">
        <v>19.239999999999998</v>
      </c>
      <c r="D70" s="11">
        <v>19.149999999999999</v>
      </c>
      <c r="E70" s="11">
        <v>19.420000000000002</v>
      </c>
      <c r="F70" s="248">
        <v>28</v>
      </c>
      <c r="G70" s="12">
        <v>2443.48</v>
      </c>
      <c r="H70" s="12">
        <v>2726.75</v>
      </c>
      <c r="I70" s="12">
        <v>2655.12</v>
      </c>
      <c r="J70" s="12">
        <v>2405</v>
      </c>
      <c r="K70" s="12">
        <v>2462.7200000000003</v>
      </c>
      <c r="L70" s="12">
        <v>2297.8200000000002</v>
      </c>
      <c r="M70" s="12">
        <v>2087.3500000000004</v>
      </c>
      <c r="N70" s="13">
        <v>1972.4500000000003</v>
      </c>
      <c r="O70" s="13">
        <v>1761.8</v>
      </c>
      <c r="P70" s="13">
        <v>1590.01</v>
      </c>
      <c r="Q70" s="13">
        <v>1417.6599999999999</v>
      </c>
      <c r="R70" s="13">
        <v>1592.44</v>
      </c>
      <c r="S70" s="12">
        <f t="shared" si="35"/>
        <v>25412.599999999995</v>
      </c>
      <c r="U70" s="13">
        <f t="shared" si="13"/>
        <v>127.00000000000001</v>
      </c>
      <c r="V70" s="13">
        <f t="shared" si="14"/>
        <v>141.722972972973</v>
      </c>
      <c r="W70" s="13">
        <f t="shared" si="15"/>
        <v>138</v>
      </c>
      <c r="X70" s="13">
        <f t="shared" si="36"/>
        <v>125.58746736292429</v>
      </c>
      <c r="Y70" s="13">
        <f t="shared" si="36"/>
        <v>128.60156657963449</v>
      </c>
      <c r="Z70" s="13">
        <f t="shared" si="36"/>
        <v>119.99060052219323</v>
      </c>
      <c r="AA70" s="13">
        <f t="shared" si="36"/>
        <v>109.00000000000003</v>
      </c>
      <c r="AB70" s="13">
        <f t="shared" si="36"/>
        <v>103.00000000000003</v>
      </c>
      <c r="AC70" s="13">
        <f t="shared" si="7"/>
        <v>90.720906282183307</v>
      </c>
      <c r="AD70" s="13">
        <f t="shared" si="8"/>
        <v>81.874871266735312</v>
      </c>
      <c r="AE70" s="13">
        <f t="shared" si="9"/>
        <v>72.999999999999986</v>
      </c>
      <c r="AF70" s="13">
        <f t="shared" si="10"/>
        <v>82</v>
      </c>
      <c r="AG70" s="15">
        <f>IFERROR(AVERAGE(U70:AF70),0)</f>
        <v>110.04153208222029</v>
      </c>
      <c r="AH70" s="15">
        <f>SUM(U70:AF70)</f>
        <v>1320.4983849866435</v>
      </c>
    </row>
    <row r="71" spans="1:41" ht="15" x14ac:dyDescent="0.25">
      <c r="A71" s="10"/>
      <c r="B71" s="10"/>
      <c r="E71"/>
      <c r="F71" s="11"/>
      <c r="G71" s="12"/>
      <c r="H71" s="13" t="str">
        <f>IF(F71="","",(#REF!/F71)+(#REF!/#REF!))</f>
        <v/>
      </c>
      <c r="I71" s="13" t="str">
        <f>IF(F71="","",H71/12)</f>
        <v/>
      </c>
      <c r="J71" s="16"/>
      <c r="K71" s="14"/>
    </row>
    <row r="72" spans="1:41" x14ac:dyDescent="0.2">
      <c r="B72" s="17" t="s">
        <v>111</v>
      </c>
      <c r="F72" s="11"/>
      <c r="G72" s="23">
        <f t="shared" ref="G72:S72" si="37">SUM(G9:G71)</f>
        <v>1412288.07</v>
      </c>
      <c r="H72" s="23">
        <f t="shared" si="37"/>
        <v>1428974.1050000002</v>
      </c>
      <c r="I72" s="23">
        <f t="shared" si="37"/>
        <v>1450315.0600000003</v>
      </c>
      <c r="J72" s="23">
        <f t="shared" si="37"/>
        <v>1406359.7300000002</v>
      </c>
      <c r="K72" s="23">
        <f t="shared" si="37"/>
        <v>1474151.8549999997</v>
      </c>
      <c r="L72" s="23">
        <f t="shared" si="37"/>
        <v>1444844.7200000007</v>
      </c>
      <c r="M72" s="23">
        <f t="shared" si="37"/>
        <v>1494239.7599999998</v>
      </c>
      <c r="N72" s="23">
        <f t="shared" si="37"/>
        <v>1493946.5150000001</v>
      </c>
      <c r="O72" s="23">
        <f t="shared" si="37"/>
        <v>1518306.8750000007</v>
      </c>
      <c r="P72" s="23">
        <f t="shared" si="37"/>
        <v>1496522.25</v>
      </c>
      <c r="Q72" s="23">
        <f t="shared" si="37"/>
        <v>1533756.0649999999</v>
      </c>
      <c r="R72" s="23">
        <f t="shared" si="37"/>
        <v>1511816.59</v>
      </c>
      <c r="S72" s="23">
        <f t="shared" si="37"/>
        <v>17665521.59500001</v>
      </c>
      <c r="U72" s="180">
        <f t="shared" ref="U72:AF72" si="38">+SUM(U9:U37)</f>
        <v>75882.189384841025</v>
      </c>
      <c r="V72" s="180">
        <f t="shared" si="38"/>
        <v>75484.386220110406</v>
      </c>
      <c r="W72" s="180">
        <f t="shared" si="38"/>
        <v>76383.159073204733</v>
      </c>
      <c r="X72" s="180">
        <f t="shared" si="38"/>
        <v>75621.672393188288</v>
      </c>
      <c r="Y72" s="180">
        <f t="shared" si="38"/>
        <v>78059.324307993447</v>
      </c>
      <c r="Z72" s="180">
        <f t="shared" si="38"/>
        <v>77530.978658769018</v>
      </c>
      <c r="AA72" s="180">
        <f t="shared" si="38"/>
        <v>79038.491579789406</v>
      </c>
      <c r="AB72" s="180">
        <f t="shared" si="38"/>
        <v>78508.746352873932</v>
      </c>
      <c r="AC72" s="180">
        <f t="shared" si="38"/>
        <v>78210.709955986371</v>
      </c>
      <c r="AD72" s="180">
        <f t="shared" si="38"/>
        <v>77748.842018088995</v>
      </c>
      <c r="AE72" s="180">
        <f t="shared" si="38"/>
        <v>79011.288308366333</v>
      </c>
      <c r="AF72" s="180">
        <f t="shared" si="38"/>
        <v>78657.682620313557</v>
      </c>
      <c r="AG72" s="180">
        <f>+SUM(AG9:AG24,AG26:AG37)</f>
        <v>77510.618163622712</v>
      </c>
      <c r="AH72" s="180">
        <f>+SUM(AH9:AH24,AH26:AH37)</f>
        <v>930127.41796347278</v>
      </c>
      <c r="AK72" s="211">
        <f>+SUM(AK9:AK71)</f>
        <v>52191.218575017469</v>
      </c>
      <c r="AM72" s="211">
        <f>+SUM(AM9:AM71)</f>
        <v>601.70263329159104</v>
      </c>
      <c r="AO72" s="211">
        <f>+SUM(AO9:AO71)</f>
        <v>0</v>
      </c>
    </row>
    <row r="73" spans="1:41" x14ac:dyDescent="0.2">
      <c r="F73" s="11"/>
      <c r="G73" s="18"/>
      <c r="H73" s="13"/>
      <c r="I73" s="19"/>
      <c r="AE73" s="1" t="s">
        <v>1332</v>
      </c>
      <c r="AH73" s="242">
        <f>+SUM(AH9:AH42,AH65)</f>
        <v>1142014.4221867654</v>
      </c>
    </row>
    <row r="74" spans="1:41" x14ac:dyDescent="0.2">
      <c r="A74" s="7" t="s">
        <v>9</v>
      </c>
      <c r="B74" s="7" t="s">
        <v>9</v>
      </c>
      <c r="F74" s="21"/>
      <c r="G74" s="8"/>
      <c r="S74" s="16">
        <f>S72+'UTC Non-Reg Svc - Price Out '!T38+'UTC Non-Reg Svc - Price Out '!T65</f>
        <v>28704194.520000011</v>
      </c>
    </row>
    <row r="75" spans="1:41" x14ac:dyDescent="0.2">
      <c r="A75" s="7"/>
      <c r="B75" s="7"/>
      <c r="F75" s="21"/>
      <c r="G75" s="22"/>
      <c r="J75" s="14"/>
      <c r="AI75" s="1">
        <f>20.42*2.17</f>
        <v>44.311399999999999</v>
      </c>
    </row>
    <row r="76" spans="1:41" s="241" customFormat="1" ht="12.75" x14ac:dyDescent="0.2">
      <c r="A76" s="232" t="s">
        <v>112</v>
      </c>
      <c r="B76" s="232" t="s">
        <v>210</v>
      </c>
      <c r="C76" s="238">
        <v>88.85</v>
      </c>
      <c r="D76" s="238">
        <v>88.41</v>
      </c>
      <c r="E76" s="238">
        <v>90.06</v>
      </c>
      <c r="F76" s="239">
        <v>35</v>
      </c>
      <c r="G76" s="233">
        <v>36139.650000000009</v>
      </c>
      <c r="H76" s="233">
        <v>38338.62000000001</v>
      </c>
      <c r="I76" s="233">
        <v>39138.340000000004</v>
      </c>
      <c r="J76" s="233">
        <v>33696.210000000006</v>
      </c>
      <c r="K76" s="233">
        <v>30664.23</v>
      </c>
      <c r="L76" s="233">
        <v>30063.01</v>
      </c>
      <c r="M76" s="240">
        <v>29021.43</v>
      </c>
      <c r="N76" s="240">
        <v>28468.030000000002</v>
      </c>
      <c r="O76" s="240">
        <v>28622.75</v>
      </c>
      <c r="P76" s="240">
        <v>28999.319999999996</v>
      </c>
      <c r="Q76" s="240">
        <v>28684.079999999998</v>
      </c>
      <c r="R76" s="240">
        <v>28211.309999999998</v>
      </c>
      <c r="S76" s="233">
        <f t="shared" ref="S76:S107" si="39">SUM(G76:R76)</f>
        <v>380046.98000000004</v>
      </c>
      <c r="U76" s="240">
        <f t="shared" ref="U76:U139" si="40">IFERROR(G76/$C76,0)</f>
        <v>406.74901519414755</v>
      </c>
      <c r="V76" s="240">
        <f t="shared" ref="V76:V139" si="41">IFERROR(H76/$C76,0)</f>
        <v>431.49825548677558</v>
      </c>
      <c r="W76" s="240">
        <f t="shared" ref="W76:W139" si="42">IFERROR(I76/$C76,0)</f>
        <v>440.49904333145759</v>
      </c>
      <c r="X76" s="240">
        <f t="shared" ref="X76:AB91" si="43">IFERROR(J76/$D76,0)</f>
        <v>381.13573125212088</v>
      </c>
      <c r="Y76" s="240">
        <f t="shared" si="43"/>
        <v>346.84119443501868</v>
      </c>
      <c r="Z76" s="240">
        <f t="shared" si="43"/>
        <v>340.04083248501303</v>
      </c>
      <c r="AA76" s="240">
        <f t="shared" si="43"/>
        <v>328.25958601968102</v>
      </c>
      <c r="AB76" s="240">
        <f t="shared" si="43"/>
        <v>322.0001131093768</v>
      </c>
      <c r="AC76" s="240">
        <f>IFERROR(O76/$E76,0)</f>
        <v>317.81867643793026</v>
      </c>
      <c r="AD76" s="240">
        <f t="shared" ref="AD76:AD139" si="44">IFERROR(P76/$E76,0)</f>
        <v>321.99999999999994</v>
      </c>
      <c r="AE76" s="240">
        <f t="shared" ref="AE76:AE139" si="45">IFERROR(Q76/$E76,0)</f>
        <v>318.49966688874082</v>
      </c>
      <c r="AF76" s="240">
        <f t="shared" ref="AF76:AF139" si="46">IFERROR(R76/$E76,0)</f>
        <v>313.25016655562956</v>
      </c>
      <c r="AG76" s="242">
        <f t="shared" ref="AG76:AG107" si="47">IFERROR(AVERAGE(U76:AF76),0)</f>
        <v>355.71602343299099</v>
      </c>
      <c r="AH76" s="242">
        <f t="shared" ref="AH76:AH107" si="48">SUM(U76:AF76)</f>
        <v>4268.5922811958917</v>
      </c>
      <c r="AI76" s="240"/>
      <c r="AL76" s="241">
        <v>1</v>
      </c>
      <c r="AM76" s="243">
        <f t="shared" ref="AM76:AM117" si="49">+AL76*AG76</f>
        <v>355.71602343299099</v>
      </c>
    </row>
    <row r="77" spans="1:41" s="241" customFormat="1" ht="12.75" x14ac:dyDescent="0.2">
      <c r="A77" s="232" t="s">
        <v>113</v>
      </c>
      <c r="B77" s="232" t="s">
        <v>211</v>
      </c>
      <c r="C77" s="238">
        <v>177.7</v>
      </c>
      <c r="D77" s="238">
        <v>176.83</v>
      </c>
      <c r="E77" s="238">
        <v>180.13</v>
      </c>
      <c r="F77" s="239">
        <v>35</v>
      </c>
      <c r="G77" s="233">
        <v>533.1</v>
      </c>
      <c r="H77" s="233">
        <v>710.8</v>
      </c>
      <c r="I77" s="233">
        <v>577.53</v>
      </c>
      <c r="J77" s="233">
        <v>6397.2000000000007</v>
      </c>
      <c r="K77" s="233">
        <v>6397.2000000000007</v>
      </c>
      <c r="L77" s="233">
        <v>2729.2799999999997</v>
      </c>
      <c r="M77" s="240">
        <v>530.49</v>
      </c>
      <c r="N77" s="240">
        <v>530.49</v>
      </c>
      <c r="O77" s="240">
        <v>530.49</v>
      </c>
      <c r="P77" s="240">
        <v>540.39</v>
      </c>
      <c r="Q77" s="240">
        <v>540.39</v>
      </c>
      <c r="R77" s="240">
        <v>540.39</v>
      </c>
      <c r="S77" s="233">
        <f t="shared" si="39"/>
        <v>20557.750000000004</v>
      </c>
      <c r="U77" s="240">
        <f t="shared" si="40"/>
        <v>3.0000000000000004</v>
      </c>
      <c r="V77" s="240">
        <f t="shared" si="41"/>
        <v>4</v>
      </c>
      <c r="W77" s="240">
        <f t="shared" si="42"/>
        <v>3.250028137310073</v>
      </c>
      <c r="X77" s="240">
        <f t="shared" si="43"/>
        <v>36.177119267092692</v>
      </c>
      <c r="Y77" s="240">
        <f t="shared" si="43"/>
        <v>36.177119267092692</v>
      </c>
      <c r="Z77" s="240">
        <f t="shared" si="43"/>
        <v>15.434485098682348</v>
      </c>
      <c r="AA77" s="240">
        <f t="shared" si="43"/>
        <v>3</v>
      </c>
      <c r="AB77" s="240">
        <f t="shared" si="43"/>
        <v>3</v>
      </c>
      <c r="AC77" s="240">
        <f t="shared" ref="AC77:AC138" si="50">IFERROR(O77/$E77,0)</f>
        <v>2.945039693554655</v>
      </c>
      <c r="AD77" s="240">
        <f t="shared" si="44"/>
        <v>3</v>
      </c>
      <c r="AE77" s="240">
        <f t="shared" si="45"/>
        <v>3</v>
      </c>
      <c r="AF77" s="240">
        <f t="shared" si="46"/>
        <v>3</v>
      </c>
      <c r="AG77" s="242">
        <f t="shared" si="47"/>
        <v>9.665315955311037</v>
      </c>
      <c r="AH77" s="242">
        <f t="shared" si="48"/>
        <v>115.98379146373244</v>
      </c>
      <c r="AI77" s="240"/>
      <c r="AL77" s="241">
        <v>1</v>
      </c>
      <c r="AM77" s="243">
        <f t="shared" si="49"/>
        <v>9.665315955311037</v>
      </c>
    </row>
    <row r="78" spans="1:41" s="241" customFormat="1" ht="12.75" x14ac:dyDescent="0.2">
      <c r="A78" s="232" t="s">
        <v>1055</v>
      </c>
      <c r="B78" s="232" t="s">
        <v>853</v>
      </c>
      <c r="C78" s="238">
        <v>266.55</v>
      </c>
      <c r="D78" s="238">
        <v>265.25</v>
      </c>
      <c r="E78" s="238">
        <v>270.19</v>
      </c>
      <c r="F78" s="239">
        <v>35</v>
      </c>
      <c r="G78" s="233">
        <v>533.1</v>
      </c>
      <c r="H78" s="233">
        <v>533.1</v>
      </c>
      <c r="I78" s="233">
        <v>533.1</v>
      </c>
      <c r="J78" s="233">
        <v>533.1</v>
      </c>
      <c r="K78" s="233">
        <v>533.1</v>
      </c>
      <c r="L78" s="233">
        <v>0</v>
      </c>
      <c r="M78" s="240">
        <v>0</v>
      </c>
      <c r="N78" s="240">
        <v>0</v>
      </c>
      <c r="O78" s="240">
        <v>0</v>
      </c>
      <c r="P78" s="240">
        <v>0</v>
      </c>
      <c r="Q78" s="240">
        <v>0</v>
      </c>
      <c r="R78" s="240">
        <v>0</v>
      </c>
      <c r="S78" s="233">
        <f t="shared" si="39"/>
        <v>2665.5</v>
      </c>
      <c r="U78" s="240">
        <f t="shared" si="40"/>
        <v>2</v>
      </c>
      <c r="V78" s="240">
        <f t="shared" si="41"/>
        <v>2</v>
      </c>
      <c r="W78" s="240">
        <f t="shared" si="42"/>
        <v>2</v>
      </c>
      <c r="X78" s="240">
        <f t="shared" si="43"/>
        <v>2.0098020735155515</v>
      </c>
      <c r="Y78" s="240">
        <f t="shared" si="43"/>
        <v>2.0098020735155515</v>
      </c>
      <c r="Z78" s="240">
        <f t="shared" si="43"/>
        <v>0</v>
      </c>
      <c r="AA78" s="240">
        <f t="shared" si="43"/>
        <v>0</v>
      </c>
      <c r="AB78" s="240">
        <f t="shared" si="43"/>
        <v>0</v>
      </c>
      <c r="AC78" s="240">
        <f t="shared" si="50"/>
        <v>0</v>
      </c>
      <c r="AD78" s="240">
        <f t="shared" si="44"/>
        <v>0</v>
      </c>
      <c r="AE78" s="240">
        <f t="shared" si="45"/>
        <v>0</v>
      </c>
      <c r="AF78" s="240">
        <f t="shared" si="46"/>
        <v>0</v>
      </c>
      <c r="AG78" s="242">
        <f t="shared" si="47"/>
        <v>0.83496701225259196</v>
      </c>
      <c r="AH78" s="242">
        <f t="shared" si="48"/>
        <v>10.019604147031103</v>
      </c>
      <c r="AI78" s="240"/>
      <c r="AL78" s="241">
        <v>1</v>
      </c>
      <c r="AM78" s="243">
        <f t="shared" si="49"/>
        <v>0.83496701225259196</v>
      </c>
    </row>
    <row r="79" spans="1:41" s="241" customFormat="1" ht="12.75" x14ac:dyDescent="0.2">
      <c r="A79" s="232" t="s">
        <v>1056</v>
      </c>
      <c r="B79" s="232" t="s">
        <v>854</v>
      </c>
      <c r="C79" s="238">
        <v>444.25</v>
      </c>
      <c r="D79" s="238">
        <v>442.09</v>
      </c>
      <c r="E79" s="238">
        <v>450.32</v>
      </c>
      <c r="F79" s="239">
        <v>35</v>
      </c>
      <c r="G79" s="233">
        <v>888.5</v>
      </c>
      <c r="H79" s="233">
        <v>888.5</v>
      </c>
      <c r="I79" s="233">
        <v>888.5</v>
      </c>
      <c r="J79" s="233">
        <v>888.5</v>
      </c>
      <c r="K79" s="233">
        <v>888.5</v>
      </c>
      <c r="L79" s="233">
        <v>442.1</v>
      </c>
      <c r="M79" s="240">
        <v>0</v>
      </c>
      <c r="N79" s="240">
        <v>0</v>
      </c>
      <c r="O79" s="240">
        <v>0</v>
      </c>
      <c r="P79" s="240">
        <v>0</v>
      </c>
      <c r="Q79" s="240">
        <v>0</v>
      </c>
      <c r="R79" s="240">
        <v>0</v>
      </c>
      <c r="S79" s="233">
        <f t="shared" si="39"/>
        <v>4884.6000000000004</v>
      </c>
      <c r="U79" s="240">
        <f t="shared" si="40"/>
        <v>2</v>
      </c>
      <c r="V79" s="240">
        <f t="shared" si="41"/>
        <v>2</v>
      </c>
      <c r="W79" s="240">
        <f t="shared" si="42"/>
        <v>2</v>
      </c>
      <c r="X79" s="240">
        <f t="shared" si="43"/>
        <v>2.0097717659300143</v>
      </c>
      <c r="Y79" s="240">
        <f t="shared" si="43"/>
        <v>2.0097717659300143</v>
      </c>
      <c r="Z79" s="240">
        <f t="shared" si="43"/>
        <v>1.0000226198285418</v>
      </c>
      <c r="AA79" s="240">
        <f t="shared" si="43"/>
        <v>0</v>
      </c>
      <c r="AB79" s="240">
        <f t="shared" si="43"/>
        <v>0</v>
      </c>
      <c r="AC79" s="240">
        <f t="shared" si="50"/>
        <v>0</v>
      </c>
      <c r="AD79" s="240">
        <f t="shared" si="44"/>
        <v>0</v>
      </c>
      <c r="AE79" s="240">
        <f t="shared" si="45"/>
        <v>0</v>
      </c>
      <c r="AF79" s="240">
        <f t="shared" si="46"/>
        <v>0</v>
      </c>
      <c r="AG79" s="242">
        <f t="shared" si="47"/>
        <v>0.91829717930738097</v>
      </c>
      <c r="AH79" s="242">
        <f t="shared" si="48"/>
        <v>11.019566151688572</v>
      </c>
      <c r="AI79" s="240"/>
      <c r="AL79" s="241">
        <v>1</v>
      </c>
      <c r="AM79" s="243">
        <f t="shared" si="49"/>
        <v>0.91829717930738097</v>
      </c>
    </row>
    <row r="80" spans="1:41" s="241" customFormat="1" ht="12.75" x14ac:dyDescent="0.2">
      <c r="A80" s="232" t="s">
        <v>114</v>
      </c>
      <c r="B80" s="232" t="s">
        <v>212</v>
      </c>
      <c r="C80" s="238">
        <v>44.53</v>
      </c>
      <c r="D80" s="238">
        <v>44.31</v>
      </c>
      <c r="E80" s="238">
        <v>45.14</v>
      </c>
      <c r="F80" s="239">
        <v>35</v>
      </c>
      <c r="G80" s="233">
        <v>28699.519999999997</v>
      </c>
      <c r="H80" s="233">
        <v>29004.54</v>
      </c>
      <c r="I80" s="233">
        <v>28476.869999999995</v>
      </c>
      <c r="J80" s="233">
        <v>26317.120000000003</v>
      </c>
      <c r="K80" s="233">
        <v>23266.759999999995</v>
      </c>
      <c r="L80" s="233">
        <v>21704.34</v>
      </c>
      <c r="M80" s="240">
        <v>21911.32</v>
      </c>
      <c r="N80" s="240">
        <v>21756.23</v>
      </c>
      <c r="O80" s="240">
        <v>21789.5</v>
      </c>
      <c r="P80" s="240">
        <v>21881.619999999995</v>
      </c>
      <c r="Q80" s="240">
        <v>22028.32</v>
      </c>
      <c r="R80" s="240">
        <v>22062.18</v>
      </c>
      <c r="S80" s="233">
        <f t="shared" si="39"/>
        <v>288898.32</v>
      </c>
      <c r="U80" s="240">
        <f t="shared" si="40"/>
        <v>644.49854030990332</v>
      </c>
      <c r="V80" s="240">
        <f t="shared" si="41"/>
        <v>651.34830451381094</v>
      </c>
      <c r="W80" s="240">
        <f t="shared" si="42"/>
        <v>639.49854030990332</v>
      </c>
      <c r="X80" s="240">
        <f t="shared" si="43"/>
        <v>593.9318438275784</v>
      </c>
      <c r="Y80" s="240">
        <f t="shared" si="43"/>
        <v>525.09049875874507</v>
      </c>
      <c r="Z80" s="240">
        <f t="shared" si="43"/>
        <v>489.82938388625593</v>
      </c>
      <c r="AA80" s="240">
        <f t="shared" si="43"/>
        <v>494.5005642067253</v>
      </c>
      <c r="AB80" s="240">
        <f t="shared" si="43"/>
        <v>491.00045136538023</v>
      </c>
      <c r="AC80" s="240">
        <f t="shared" si="50"/>
        <v>482.70934869295525</v>
      </c>
      <c r="AD80" s="240">
        <f t="shared" si="44"/>
        <v>484.75011076650412</v>
      </c>
      <c r="AE80" s="240">
        <f t="shared" si="45"/>
        <v>488</v>
      </c>
      <c r="AF80" s="240">
        <f t="shared" si="46"/>
        <v>488.75011076650424</v>
      </c>
      <c r="AG80" s="242">
        <f t="shared" si="47"/>
        <v>539.49230811702216</v>
      </c>
      <c r="AH80" s="242">
        <f t="shared" si="48"/>
        <v>6473.9076974042655</v>
      </c>
      <c r="AI80" s="240"/>
      <c r="AL80" s="241">
        <v>1</v>
      </c>
      <c r="AM80" s="243">
        <f t="shared" si="49"/>
        <v>539.49230811702216</v>
      </c>
    </row>
    <row r="81" spans="1:39" s="241" customFormat="1" ht="12.75" x14ac:dyDescent="0.2">
      <c r="A81" s="232" t="s">
        <v>115</v>
      </c>
      <c r="B81" s="232" t="s">
        <v>213</v>
      </c>
      <c r="C81" s="238">
        <v>119.97999999999999</v>
      </c>
      <c r="D81" s="238">
        <v>119.42</v>
      </c>
      <c r="E81" s="238">
        <v>121.76000000000002</v>
      </c>
      <c r="F81" s="239">
        <v>35</v>
      </c>
      <c r="G81" s="233">
        <v>15327.439999999999</v>
      </c>
      <c r="H81" s="233">
        <v>15567.109999999999</v>
      </c>
      <c r="I81" s="233">
        <v>16077.31</v>
      </c>
      <c r="J81" s="233">
        <v>15777.349999999999</v>
      </c>
      <c r="K81" s="233">
        <v>14877.490000000002</v>
      </c>
      <c r="L81" s="233">
        <v>14181.13</v>
      </c>
      <c r="M81" s="240">
        <v>13912.439999999999</v>
      </c>
      <c r="N81" s="240">
        <v>13793.02</v>
      </c>
      <c r="O81" s="240">
        <v>13643.74</v>
      </c>
      <c r="P81" s="240">
        <v>13545.8</v>
      </c>
      <c r="Q81" s="240">
        <v>13484.919999999998</v>
      </c>
      <c r="R81" s="240">
        <v>13271.84</v>
      </c>
      <c r="S81" s="233">
        <f t="shared" si="39"/>
        <v>173459.59</v>
      </c>
      <c r="U81" s="240">
        <f t="shared" si="40"/>
        <v>127.74995832638773</v>
      </c>
      <c r="V81" s="240">
        <f t="shared" si="41"/>
        <v>129.74754125687613</v>
      </c>
      <c r="W81" s="240">
        <f t="shared" si="42"/>
        <v>133.99991665277548</v>
      </c>
      <c r="X81" s="240">
        <f t="shared" si="43"/>
        <v>132.11647965164963</v>
      </c>
      <c r="Y81" s="240">
        <f t="shared" si="43"/>
        <v>124.58122592530566</v>
      </c>
      <c r="Z81" s="240">
        <f t="shared" si="43"/>
        <v>118.75004186903365</v>
      </c>
      <c r="AA81" s="240">
        <f t="shared" si="43"/>
        <v>116.50008373806732</v>
      </c>
      <c r="AB81" s="240">
        <f t="shared" si="43"/>
        <v>115.50008373806733</v>
      </c>
      <c r="AC81" s="240">
        <f t="shared" si="50"/>
        <v>112.05436925098553</v>
      </c>
      <c r="AD81" s="240">
        <f t="shared" si="44"/>
        <v>111.24999999999997</v>
      </c>
      <c r="AE81" s="240">
        <f t="shared" si="45"/>
        <v>110.74999999999997</v>
      </c>
      <c r="AF81" s="240">
        <f t="shared" si="46"/>
        <v>108.99999999999999</v>
      </c>
      <c r="AG81" s="242">
        <f t="shared" si="47"/>
        <v>120.16664170076238</v>
      </c>
      <c r="AH81" s="242">
        <f t="shared" si="48"/>
        <v>1441.9997004091485</v>
      </c>
      <c r="AI81" s="240"/>
      <c r="AL81" s="241">
        <v>1</v>
      </c>
      <c r="AM81" s="243">
        <f t="shared" si="49"/>
        <v>120.16664170076238</v>
      </c>
    </row>
    <row r="82" spans="1:39" s="241" customFormat="1" ht="12.75" x14ac:dyDescent="0.2">
      <c r="A82" s="232" t="s">
        <v>116</v>
      </c>
      <c r="B82" s="232" t="s">
        <v>214</v>
      </c>
      <c r="C82" s="238">
        <v>239.95999999999998</v>
      </c>
      <c r="D82" s="238">
        <v>238.84</v>
      </c>
      <c r="E82" s="238">
        <v>243.52000000000004</v>
      </c>
      <c r="F82" s="239">
        <v>35</v>
      </c>
      <c r="G82" s="233">
        <v>479.92</v>
      </c>
      <c r="H82" s="233">
        <v>479.92</v>
      </c>
      <c r="I82" s="233">
        <v>479.92</v>
      </c>
      <c r="J82" s="233">
        <v>359.94</v>
      </c>
      <c r="K82" s="233">
        <v>239.96</v>
      </c>
      <c r="L82" s="233">
        <v>238.84</v>
      </c>
      <c r="M82" s="240">
        <v>238.84</v>
      </c>
      <c r="N82" s="240">
        <v>238.84</v>
      </c>
      <c r="O82" s="240">
        <v>238.84</v>
      </c>
      <c r="P82" s="240">
        <v>243.52</v>
      </c>
      <c r="Q82" s="240">
        <v>243.52</v>
      </c>
      <c r="R82" s="240">
        <v>243.52</v>
      </c>
      <c r="S82" s="233">
        <f t="shared" si="39"/>
        <v>3725.5800000000004</v>
      </c>
      <c r="U82" s="240">
        <f t="shared" si="40"/>
        <v>2.0000000000000004</v>
      </c>
      <c r="V82" s="240">
        <f t="shared" si="41"/>
        <v>2.0000000000000004</v>
      </c>
      <c r="W82" s="240">
        <f t="shared" si="42"/>
        <v>2.0000000000000004</v>
      </c>
      <c r="X82" s="240">
        <f t="shared" si="43"/>
        <v>1.5070339976553342</v>
      </c>
      <c r="Y82" s="240">
        <f t="shared" si="43"/>
        <v>1.0046893317702228</v>
      </c>
      <c r="Z82" s="240">
        <f t="shared" si="43"/>
        <v>1</v>
      </c>
      <c r="AA82" s="240">
        <f t="shared" si="43"/>
        <v>1</v>
      </c>
      <c r="AB82" s="240">
        <f t="shared" si="43"/>
        <v>1</v>
      </c>
      <c r="AC82" s="240">
        <f t="shared" si="50"/>
        <v>0.98078186596583428</v>
      </c>
      <c r="AD82" s="240">
        <f t="shared" si="44"/>
        <v>0.99999999999999989</v>
      </c>
      <c r="AE82" s="240">
        <f t="shared" si="45"/>
        <v>0.99999999999999989</v>
      </c>
      <c r="AF82" s="240">
        <f t="shared" si="46"/>
        <v>0.99999999999999989</v>
      </c>
      <c r="AG82" s="242">
        <f t="shared" si="47"/>
        <v>1.2910420996159495</v>
      </c>
      <c r="AH82" s="242">
        <f t="shared" si="48"/>
        <v>15.492505195391393</v>
      </c>
      <c r="AI82" s="240"/>
      <c r="AL82" s="241">
        <v>1</v>
      </c>
      <c r="AM82" s="243">
        <f t="shared" si="49"/>
        <v>1.2910420996159495</v>
      </c>
    </row>
    <row r="83" spans="1:39" s="241" customFormat="1" ht="12.75" x14ac:dyDescent="0.2">
      <c r="A83" s="232" t="s">
        <v>117</v>
      </c>
      <c r="B83" s="232" t="s">
        <v>215</v>
      </c>
      <c r="C83" s="238">
        <v>60.13000000000001</v>
      </c>
      <c r="D83" s="238">
        <v>59.840000000000011</v>
      </c>
      <c r="E83" s="238">
        <v>61.02</v>
      </c>
      <c r="F83" s="239">
        <v>35</v>
      </c>
      <c r="G83" s="233">
        <v>11665.21</v>
      </c>
      <c r="H83" s="233">
        <v>11605.08</v>
      </c>
      <c r="I83" s="233">
        <v>11424.69</v>
      </c>
      <c r="J83" s="233">
        <v>10372.39</v>
      </c>
      <c r="K83" s="233">
        <v>9470.4599999999991</v>
      </c>
      <c r="L83" s="233">
        <v>8946.2200000000012</v>
      </c>
      <c r="M83" s="240">
        <v>9035.84</v>
      </c>
      <c r="N83" s="240">
        <v>9125.6</v>
      </c>
      <c r="O83" s="240">
        <v>9275.2000000000007</v>
      </c>
      <c r="P83" s="240">
        <v>9489.1999999999989</v>
      </c>
      <c r="Q83" s="240">
        <v>9610.65</v>
      </c>
      <c r="R83" s="240">
        <v>9548.4499999999989</v>
      </c>
      <c r="S83" s="233">
        <f t="shared" si="39"/>
        <v>119568.98999999999</v>
      </c>
      <c r="U83" s="240">
        <f t="shared" si="40"/>
        <v>193.99983369366367</v>
      </c>
      <c r="V83" s="240">
        <f t="shared" si="41"/>
        <v>192.9998336936637</v>
      </c>
      <c r="W83" s="240">
        <f t="shared" si="42"/>
        <v>189.9998336936637</v>
      </c>
      <c r="X83" s="240">
        <f t="shared" si="43"/>
        <v>173.33539438502669</v>
      </c>
      <c r="Y83" s="240">
        <f t="shared" si="43"/>
        <v>158.26303475935825</v>
      </c>
      <c r="Z83" s="240">
        <f t="shared" si="43"/>
        <v>149.50233957219251</v>
      </c>
      <c r="AA83" s="240">
        <f t="shared" si="43"/>
        <v>150.99999999999997</v>
      </c>
      <c r="AB83" s="240">
        <f t="shared" si="43"/>
        <v>152.49999999999997</v>
      </c>
      <c r="AC83" s="240">
        <f t="shared" si="50"/>
        <v>152.00262209111767</v>
      </c>
      <c r="AD83" s="240">
        <f t="shared" si="44"/>
        <v>155.50966896099638</v>
      </c>
      <c r="AE83" s="240">
        <f t="shared" si="45"/>
        <v>157.5</v>
      </c>
      <c r="AF83" s="240">
        <f t="shared" si="46"/>
        <v>156.48066207800719</v>
      </c>
      <c r="AG83" s="242">
        <f t="shared" si="47"/>
        <v>165.25776857730747</v>
      </c>
      <c r="AH83" s="242">
        <f t="shared" si="48"/>
        <v>1983.0932229276896</v>
      </c>
      <c r="AI83" s="240"/>
      <c r="AL83" s="241">
        <v>1</v>
      </c>
      <c r="AM83" s="243">
        <f t="shared" si="49"/>
        <v>165.25776857730747</v>
      </c>
    </row>
    <row r="84" spans="1:39" s="241" customFormat="1" ht="12.75" x14ac:dyDescent="0.2">
      <c r="A84" s="232" t="s">
        <v>118</v>
      </c>
      <c r="B84" s="232" t="s">
        <v>216</v>
      </c>
      <c r="C84" s="238">
        <v>143.58000000000001</v>
      </c>
      <c r="D84" s="238">
        <v>142.88999999999999</v>
      </c>
      <c r="E84" s="238">
        <v>145.96</v>
      </c>
      <c r="F84" s="239">
        <v>35</v>
      </c>
      <c r="G84" s="233">
        <v>70210.569999999992</v>
      </c>
      <c r="H84" s="233">
        <v>74338.48</v>
      </c>
      <c r="I84" s="233">
        <v>77425.41</v>
      </c>
      <c r="J84" s="233">
        <v>69456.740000000005</v>
      </c>
      <c r="K84" s="233">
        <v>67410.759999999995</v>
      </c>
      <c r="L84" s="233">
        <v>69049.459999999992</v>
      </c>
      <c r="M84" s="240">
        <v>67409</v>
      </c>
      <c r="N84" s="240">
        <v>65908.039999999994</v>
      </c>
      <c r="O84" s="240">
        <v>64693.46</v>
      </c>
      <c r="P84" s="240">
        <v>66522.040000000008</v>
      </c>
      <c r="Q84" s="240">
        <v>66995.64</v>
      </c>
      <c r="R84" s="240">
        <v>68309.279999999999</v>
      </c>
      <c r="S84" s="233">
        <f t="shared" si="39"/>
        <v>827728.88000000012</v>
      </c>
      <c r="U84" s="240">
        <f t="shared" si="40"/>
        <v>488.99965176208377</v>
      </c>
      <c r="V84" s="240">
        <f t="shared" si="41"/>
        <v>517.74954729070896</v>
      </c>
      <c r="W84" s="240">
        <f t="shared" si="42"/>
        <v>539.24926870037609</v>
      </c>
      <c r="X84" s="240">
        <f t="shared" si="43"/>
        <v>486.08538036251673</v>
      </c>
      <c r="Y84" s="240">
        <f t="shared" si="43"/>
        <v>471.76681363286446</v>
      </c>
      <c r="Z84" s="240">
        <f t="shared" si="43"/>
        <v>483.23507593253549</v>
      </c>
      <c r="AA84" s="240">
        <f t="shared" si="43"/>
        <v>471.75449646581291</v>
      </c>
      <c r="AB84" s="240">
        <f t="shared" si="43"/>
        <v>461.2501924557352</v>
      </c>
      <c r="AC84" s="240">
        <f t="shared" si="50"/>
        <v>443.22732255412438</v>
      </c>
      <c r="AD84" s="240">
        <f t="shared" si="44"/>
        <v>455.75527541792275</v>
      </c>
      <c r="AE84" s="240">
        <f t="shared" si="45"/>
        <v>458.99999999999994</v>
      </c>
      <c r="AF84" s="240">
        <f t="shared" si="46"/>
        <v>467.99999999999994</v>
      </c>
      <c r="AG84" s="242">
        <f t="shared" si="47"/>
        <v>478.83941871455664</v>
      </c>
      <c r="AH84" s="242">
        <f t="shared" si="48"/>
        <v>5746.0730245746799</v>
      </c>
      <c r="AI84" s="240"/>
      <c r="AL84" s="241">
        <v>1</v>
      </c>
      <c r="AM84" s="243">
        <f t="shared" si="49"/>
        <v>478.83941871455664</v>
      </c>
    </row>
    <row r="85" spans="1:39" s="241" customFormat="1" ht="12.75" x14ac:dyDescent="0.2">
      <c r="A85" s="232" t="s">
        <v>119</v>
      </c>
      <c r="B85" s="232" t="s">
        <v>217</v>
      </c>
      <c r="C85" s="238">
        <v>287.17</v>
      </c>
      <c r="D85" s="238">
        <v>285.77999999999997</v>
      </c>
      <c r="E85" s="238">
        <v>291.93</v>
      </c>
      <c r="F85" s="239">
        <v>35</v>
      </c>
      <c r="G85" s="233">
        <v>12743.16</v>
      </c>
      <c r="H85" s="233">
        <v>12635.48</v>
      </c>
      <c r="I85" s="233">
        <v>12922.650000000001</v>
      </c>
      <c r="J85" s="233">
        <v>26240.15</v>
      </c>
      <c r="K85" s="233">
        <v>25917.09</v>
      </c>
      <c r="L85" s="233">
        <v>16844.760000000002</v>
      </c>
      <c r="M85" s="240">
        <v>13145.899999999998</v>
      </c>
      <c r="N85" s="240">
        <v>12288.539999999999</v>
      </c>
      <c r="O85" s="240">
        <v>12002.759999999998</v>
      </c>
      <c r="P85" s="240">
        <v>12261.06</v>
      </c>
      <c r="Q85" s="240">
        <v>12261.06</v>
      </c>
      <c r="R85" s="240">
        <v>12370.529999999999</v>
      </c>
      <c r="S85" s="233">
        <f t="shared" si="39"/>
        <v>181633.14</v>
      </c>
      <c r="U85" s="240">
        <f t="shared" si="40"/>
        <v>44.374969530243405</v>
      </c>
      <c r="V85" s="240">
        <f t="shared" si="41"/>
        <v>43.999999999999993</v>
      </c>
      <c r="W85" s="240">
        <f t="shared" si="42"/>
        <v>45</v>
      </c>
      <c r="X85" s="240">
        <f t="shared" si="43"/>
        <v>91.819406536496615</v>
      </c>
      <c r="Y85" s="240">
        <f t="shared" si="43"/>
        <v>90.688956539995814</v>
      </c>
      <c r="Z85" s="240">
        <f t="shared" si="43"/>
        <v>58.943103086290165</v>
      </c>
      <c r="AA85" s="240">
        <f t="shared" si="43"/>
        <v>46.0000699839037</v>
      </c>
      <c r="AB85" s="240">
        <f t="shared" si="43"/>
        <v>43</v>
      </c>
      <c r="AC85" s="240">
        <f t="shared" si="50"/>
        <v>41.115198849039146</v>
      </c>
      <c r="AD85" s="240">
        <f t="shared" si="44"/>
        <v>42</v>
      </c>
      <c r="AE85" s="240">
        <f t="shared" si="45"/>
        <v>42</v>
      </c>
      <c r="AF85" s="240">
        <f t="shared" si="46"/>
        <v>42.374987154454828</v>
      </c>
      <c r="AG85" s="242">
        <f t="shared" si="47"/>
        <v>52.60972430670197</v>
      </c>
      <c r="AH85" s="242">
        <f t="shared" si="48"/>
        <v>631.31669168042367</v>
      </c>
      <c r="AI85" s="240"/>
      <c r="AL85" s="241">
        <v>1</v>
      </c>
      <c r="AM85" s="243">
        <f t="shared" si="49"/>
        <v>52.60972430670197</v>
      </c>
    </row>
    <row r="86" spans="1:39" s="241" customFormat="1" ht="12.75" x14ac:dyDescent="0.2">
      <c r="A86" s="232" t="s">
        <v>120</v>
      </c>
      <c r="B86" s="232" t="s">
        <v>218</v>
      </c>
      <c r="C86" s="238">
        <v>430.75</v>
      </c>
      <c r="D86" s="238">
        <v>428.66999999999996</v>
      </c>
      <c r="E86" s="238">
        <v>437.89</v>
      </c>
      <c r="F86" s="239">
        <v>35</v>
      </c>
      <c r="G86" s="233">
        <v>1723</v>
      </c>
      <c r="H86" s="233">
        <v>1723</v>
      </c>
      <c r="I86" s="233">
        <v>1723</v>
      </c>
      <c r="J86" s="233">
        <v>1723</v>
      </c>
      <c r="K86" s="233">
        <v>1723</v>
      </c>
      <c r="L86" s="233">
        <v>1714.68</v>
      </c>
      <c r="M86" s="240">
        <v>1714.68</v>
      </c>
      <c r="N86" s="240">
        <v>1714.68</v>
      </c>
      <c r="O86" s="240">
        <v>2143.35</v>
      </c>
      <c r="P86" s="240">
        <v>2189.4499999999998</v>
      </c>
      <c r="Q86" s="240">
        <v>2189.4499999999998</v>
      </c>
      <c r="R86" s="240">
        <v>2189.4499999999998</v>
      </c>
      <c r="S86" s="233">
        <f t="shared" si="39"/>
        <v>22470.74</v>
      </c>
      <c r="U86" s="240">
        <f t="shared" si="40"/>
        <v>4</v>
      </c>
      <c r="V86" s="240">
        <f t="shared" si="41"/>
        <v>4</v>
      </c>
      <c r="W86" s="240">
        <f t="shared" si="42"/>
        <v>4</v>
      </c>
      <c r="X86" s="240">
        <f t="shared" si="43"/>
        <v>4.0194088692933958</v>
      </c>
      <c r="Y86" s="240">
        <f t="shared" si="43"/>
        <v>4.0194088692933958</v>
      </c>
      <c r="Z86" s="240">
        <f t="shared" si="43"/>
        <v>4.0000000000000009</v>
      </c>
      <c r="AA86" s="240">
        <f t="shared" si="43"/>
        <v>4.0000000000000009</v>
      </c>
      <c r="AB86" s="240">
        <f t="shared" si="43"/>
        <v>4.0000000000000009</v>
      </c>
      <c r="AC86" s="240">
        <f t="shared" si="50"/>
        <v>4.8947224188723197</v>
      </c>
      <c r="AD86" s="240">
        <f t="shared" si="44"/>
        <v>5</v>
      </c>
      <c r="AE86" s="240">
        <f t="shared" si="45"/>
        <v>5</v>
      </c>
      <c r="AF86" s="240">
        <f t="shared" si="46"/>
        <v>5</v>
      </c>
      <c r="AG86" s="242">
        <f t="shared" si="47"/>
        <v>4.3277950131215928</v>
      </c>
      <c r="AH86" s="242">
        <f t="shared" si="48"/>
        <v>51.933540157459113</v>
      </c>
      <c r="AI86" s="240"/>
      <c r="AL86" s="241">
        <v>1</v>
      </c>
      <c r="AM86" s="243">
        <f t="shared" si="49"/>
        <v>4.3277950131215928</v>
      </c>
    </row>
    <row r="87" spans="1:39" s="241" customFormat="1" ht="12.75" x14ac:dyDescent="0.2">
      <c r="A87" s="232" t="s">
        <v>121</v>
      </c>
      <c r="B87" s="232" t="s">
        <v>219</v>
      </c>
      <c r="C87" s="238">
        <v>574.33000000000004</v>
      </c>
      <c r="D87" s="238">
        <v>571.55999999999995</v>
      </c>
      <c r="E87" s="238">
        <v>583.86</v>
      </c>
      <c r="F87" s="239">
        <v>35</v>
      </c>
      <c r="G87" s="233">
        <v>574.33000000000004</v>
      </c>
      <c r="H87" s="233">
        <v>574.33000000000004</v>
      </c>
      <c r="I87" s="233">
        <v>574.33000000000004</v>
      </c>
      <c r="J87" s="233">
        <v>574.33000000000004</v>
      </c>
      <c r="K87" s="233">
        <v>574.33000000000004</v>
      </c>
      <c r="L87" s="233">
        <v>571.55999999999995</v>
      </c>
      <c r="M87" s="240">
        <v>571.55999999999995</v>
      </c>
      <c r="N87" s="240">
        <v>571.55999999999995</v>
      </c>
      <c r="O87" s="240">
        <v>571.55999999999995</v>
      </c>
      <c r="P87" s="240">
        <v>583.86</v>
      </c>
      <c r="Q87" s="240">
        <v>583.86</v>
      </c>
      <c r="R87" s="240">
        <v>583.86</v>
      </c>
      <c r="S87" s="233">
        <f t="shared" si="39"/>
        <v>6909.4699999999984</v>
      </c>
      <c r="U87" s="240">
        <f t="shared" si="40"/>
        <v>1</v>
      </c>
      <c r="V87" s="240">
        <f t="shared" si="41"/>
        <v>1</v>
      </c>
      <c r="W87" s="240">
        <f t="shared" si="42"/>
        <v>1</v>
      </c>
      <c r="X87" s="240">
        <f t="shared" si="43"/>
        <v>1.004846385331374</v>
      </c>
      <c r="Y87" s="240">
        <f t="shared" si="43"/>
        <v>1.004846385331374</v>
      </c>
      <c r="Z87" s="240">
        <f t="shared" si="43"/>
        <v>1</v>
      </c>
      <c r="AA87" s="240">
        <f t="shared" si="43"/>
        <v>1</v>
      </c>
      <c r="AB87" s="240">
        <f t="shared" si="43"/>
        <v>1</v>
      </c>
      <c r="AC87" s="240">
        <f t="shared" si="50"/>
        <v>0.97893330592950356</v>
      </c>
      <c r="AD87" s="240">
        <f t="shared" si="44"/>
        <v>1</v>
      </c>
      <c r="AE87" s="240">
        <f t="shared" si="45"/>
        <v>1</v>
      </c>
      <c r="AF87" s="240">
        <f t="shared" si="46"/>
        <v>1</v>
      </c>
      <c r="AG87" s="242">
        <f t="shared" si="47"/>
        <v>0.99905217304935434</v>
      </c>
      <c r="AH87" s="242">
        <f t="shared" si="48"/>
        <v>11.988626076592253</v>
      </c>
      <c r="AI87" s="240"/>
      <c r="AL87" s="241">
        <v>1</v>
      </c>
      <c r="AM87" s="243">
        <f t="shared" si="49"/>
        <v>0.99905217304935434</v>
      </c>
    </row>
    <row r="88" spans="1:39" s="241" customFormat="1" ht="12.75" x14ac:dyDescent="0.2">
      <c r="A88" s="241" t="s">
        <v>1057</v>
      </c>
      <c r="B88" s="232" t="s">
        <v>855</v>
      </c>
      <c r="C88" s="238">
        <v>717.91</v>
      </c>
      <c r="D88" s="238">
        <v>714.45</v>
      </c>
      <c r="E88" s="238">
        <v>729.82</v>
      </c>
      <c r="F88" s="239">
        <v>35</v>
      </c>
      <c r="G88" s="233">
        <v>1435.82</v>
      </c>
      <c r="H88" s="233">
        <v>1435.82</v>
      </c>
      <c r="I88" s="233">
        <v>1435.82</v>
      </c>
      <c r="J88" s="233">
        <v>1435.82</v>
      </c>
      <c r="K88" s="233">
        <v>1435.82</v>
      </c>
      <c r="L88" s="233">
        <v>1428.9</v>
      </c>
      <c r="M88" s="240">
        <v>1428.9</v>
      </c>
      <c r="N88" s="240">
        <v>1428.9</v>
      </c>
      <c r="O88" s="240">
        <v>1428.9</v>
      </c>
      <c r="P88" s="240">
        <v>1459.64</v>
      </c>
      <c r="Q88" s="240">
        <v>1459.64</v>
      </c>
      <c r="R88" s="240">
        <v>1459.64</v>
      </c>
      <c r="S88" s="233">
        <f t="shared" si="39"/>
        <v>17273.62</v>
      </c>
      <c r="U88" s="240">
        <f t="shared" si="40"/>
        <v>2</v>
      </c>
      <c r="V88" s="240">
        <f t="shared" si="41"/>
        <v>2</v>
      </c>
      <c r="W88" s="240">
        <f t="shared" si="42"/>
        <v>2</v>
      </c>
      <c r="X88" s="240">
        <f t="shared" si="43"/>
        <v>2.0096857722723773</v>
      </c>
      <c r="Y88" s="240">
        <f t="shared" si="43"/>
        <v>2.0096857722723773</v>
      </c>
      <c r="Z88" s="240">
        <f t="shared" si="43"/>
        <v>2</v>
      </c>
      <c r="AA88" s="240">
        <f t="shared" si="43"/>
        <v>2</v>
      </c>
      <c r="AB88" s="240">
        <f t="shared" si="43"/>
        <v>2</v>
      </c>
      <c r="AC88" s="240">
        <f t="shared" si="50"/>
        <v>1.9578800252116961</v>
      </c>
      <c r="AD88" s="240">
        <f t="shared" si="44"/>
        <v>2</v>
      </c>
      <c r="AE88" s="240">
        <f t="shared" si="45"/>
        <v>2</v>
      </c>
      <c r="AF88" s="240">
        <f t="shared" si="46"/>
        <v>2</v>
      </c>
      <c r="AG88" s="242">
        <f t="shared" si="47"/>
        <v>1.9981042974797043</v>
      </c>
      <c r="AH88" s="242">
        <f t="shared" si="48"/>
        <v>23.977251569756451</v>
      </c>
      <c r="AI88" s="240"/>
      <c r="AL88" s="241">
        <v>1</v>
      </c>
      <c r="AM88" s="243">
        <f t="shared" si="49"/>
        <v>1.9981042974797043</v>
      </c>
    </row>
    <row r="89" spans="1:39" s="241" customFormat="1" ht="12.75" x14ac:dyDescent="0.2">
      <c r="A89" s="232" t="s">
        <v>122</v>
      </c>
      <c r="B89" s="232" t="s">
        <v>221</v>
      </c>
      <c r="C89" s="238">
        <v>71.959999999999994</v>
      </c>
      <c r="D89" s="238">
        <v>71.61</v>
      </c>
      <c r="E89" s="238">
        <v>73.150000000000006</v>
      </c>
      <c r="F89" s="239">
        <v>35</v>
      </c>
      <c r="G89" s="233">
        <v>29143.799999999996</v>
      </c>
      <c r="H89" s="233">
        <v>27747.539999999997</v>
      </c>
      <c r="I89" s="233">
        <v>28460.18</v>
      </c>
      <c r="J89" s="233">
        <v>26067.510000000002</v>
      </c>
      <c r="K89" s="233">
        <v>22919.260000000002</v>
      </c>
      <c r="L89" s="233">
        <v>21089.350000000002</v>
      </c>
      <c r="M89" s="240">
        <v>21268.190000000002</v>
      </c>
      <c r="N89" s="240">
        <v>21393.510000000002</v>
      </c>
      <c r="O89" s="240">
        <v>21733.69</v>
      </c>
      <c r="P89" s="240">
        <v>21213.510000000002</v>
      </c>
      <c r="Q89" s="240">
        <v>21358.91</v>
      </c>
      <c r="R89" s="240">
        <v>21378.12</v>
      </c>
      <c r="S89" s="233">
        <f t="shared" si="39"/>
        <v>283773.57</v>
      </c>
      <c r="U89" s="240">
        <f t="shared" si="40"/>
        <v>405</v>
      </c>
      <c r="V89" s="240">
        <f t="shared" si="41"/>
        <v>385.59672040022235</v>
      </c>
      <c r="W89" s="240">
        <f t="shared" si="42"/>
        <v>395.50000000000006</v>
      </c>
      <c r="X89" s="240">
        <f t="shared" si="43"/>
        <v>364.02052785923757</v>
      </c>
      <c r="Y89" s="240">
        <f t="shared" si="43"/>
        <v>320.05669599217987</v>
      </c>
      <c r="Z89" s="240">
        <f t="shared" si="43"/>
        <v>294.50286272866919</v>
      </c>
      <c r="AA89" s="240">
        <f t="shared" si="43"/>
        <v>297.0002792906019</v>
      </c>
      <c r="AB89" s="240">
        <f t="shared" si="43"/>
        <v>298.75031420192715</v>
      </c>
      <c r="AC89" s="240">
        <f t="shared" si="50"/>
        <v>297.11127819548869</v>
      </c>
      <c r="AD89" s="240">
        <f t="shared" si="44"/>
        <v>290.00013670539988</v>
      </c>
      <c r="AE89" s="240">
        <f t="shared" si="45"/>
        <v>291.98783321941215</v>
      </c>
      <c r="AF89" s="240">
        <f t="shared" si="46"/>
        <v>292.2504442925495</v>
      </c>
      <c r="AG89" s="242">
        <f t="shared" si="47"/>
        <v>327.64809107380739</v>
      </c>
      <c r="AH89" s="242">
        <f t="shared" si="48"/>
        <v>3931.7770928856885</v>
      </c>
      <c r="AI89" s="240"/>
      <c r="AL89" s="241">
        <v>1</v>
      </c>
      <c r="AM89" s="243">
        <f t="shared" si="49"/>
        <v>327.64809107380739</v>
      </c>
    </row>
    <row r="90" spans="1:39" s="241" customFormat="1" ht="12.75" x14ac:dyDescent="0.2">
      <c r="A90" s="232" t="s">
        <v>123</v>
      </c>
      <c r="B90" s="232" t="s">
        <v>222</v>
      </c>
      <c r="C90" s="238">
        <v>200.83</v>
      </c>
      <c r="D90" s="238">
        <v>199.87</v>
      </c>
      <c r="E90" s="238">
        <v>204.29</v>
      </c>
      <c r="F90" s="239">
        <v>35</v>
      </c>
      <c r="G90" s="233">
        <v>39814.520000000004</v>
      </c>
      <c r="H90" s="233">
        <v>40266.410000000003</v>
      </c>
      <c r="I90" s="233">
        <v>39613.65</v>
      </c>
      <c r="J90" s="233">
        <v>41019.509999999995</v>
      </c>
      <c r="K90" s="233">
        <v>41320.74</v>
      </c>
      <c r="L90" s="233">
        <v>41622.93</v>
      </c>
      <c r="M90" s="240">
        <v>41772.829999999994</v>
      </c>
      <c r="N90" s="240">
        <v>41473.019999999997</v>
      </c>
      <c r="O90" s="240">
        <v>40773.469999999994</v>
      </c>
      <c r="P90" s="240">
        <v>41981.599999999999</v>
      </c>
      <c r="Q90" s="240">
        <v>41990.840000000004</v>
      </c>
      <c r="R90" s="240">
        <v>42798.759999999995</v>
      </c>
      <c r="S90" s="233">
        <f t="shared" si="39"/>
        <v>494448.28</v>
      </c>
      <c r="U90" s="240">
        <f t="shared" si="40"/>
        <v>198.24986306826671</v>
      </c>
      <c r="V90" s="240">
        <f t="shared" si="41"/>
        <v>200.49997510332122</v>
      </c>
      <c r="W90" s="240">
        <f t="shared" si="42"/>
        <v>197.24966389483643</v>
      </c>
      <c r="X90" s="240">
        <f t="shared" si="43"/>
        <v>205.23095011757638</v>
      </c>
      <c r="Y90" s="240">
        <f t="shared" si="43"/>
        <v>206.73807975183868</v>
      </c>
      <c r="Z90" s="240">
        <f t="shared" si="43"/>
        <v>208.25001250813028</v>
      </c>
      <c r="AA90" s="240">
        <f t="shared" si="43"/>
        <v>208.99999999999997</v>
      </c>
      <c r="AB90" s="240">
        <f t="shared" si="43"/>
        <v>207.49997498373941</v>
      </c>
      <c r="AC90" s="240">
        <f t="shared" si="50"/>
        <v>199.58622546380144</v>
      </c>
      <c r="AD90" s="240">
        <f t="shared" si="44"/>
        <v>205.500024475011</v>
      </c>
      <c r="AE90" s="240">
        <f t="shared" si="45"/>
        <v>205.54525429536446</v>
      </c>
      <c r="AF90" s="240">
        <f t="shared" si="46"/>
        <v>209.500024475011</v>
      </c>
      <c r="AG90" s="242">
        <f t="shared" si="47"/>
        <v>204.40417067807473</v>
      </c>
      <c r="AH90" s="242">
        <f t="shared" si="48"/>
        <v>2452.8500481368969</v>
      </c>
      <c r="AI90" s="240"/>
      <c r="AL90" s="241">
        <v>1</v>
      </c>
      <c r="AM90" s="243">
        <f t="shared" si="49"/>
        <v>204.40417067807473</v>
      </c>
    </row>
    <row r="91" spans="1:39" s="241" customFormat="1" ht="12.75" x14ac:dyDescent="0.2">
      <c r="A91" s="232" t="s">
        <v>124</v>
      </c>
      <c r="B91" s="232" t="s">
        <v>223</v>
      </c>
      <c r="C91" s="238">
        <v>401.65</v>
      </c>
      <c r="D91" s="238">
        <v>399.74</v>
      </c>
      <c r="E91" s="238">
        <v>408.58</v>
      </c>
      <c r="F91" s="239">
        <v>35</v>
      </c>
      <c r="G91" s="233">
        <v>23697.35</v>
      </c>
      <c r="H91" s="233">
        <v>23998.58</v>
      </c>
      <c r="I91" s="233">
        <v>24199.4</v>
      </c>
      <c r="J91" s="233">
        <v>23496.510000000002</v>
      </c>
      <c r="K91" s="233">
        <v>23295.699999999997</v>
      </c>
      <c r="L91" s="233">
        <v>23434.760000000002</v>
      </c>
      <c r="M91" s="240">
        <v>23984.400000000001</v>
      </c>
      <c r="N91" s="240">
        <v>25183.62</v>
      </c>
      <c r="O91" s="240">
        <v>25183.62</v>
      </c>
      <c r="P91" s="240">
        <v>25485.18</v>
      </c>
      <c r="Q91" s="240">
        <v>25280.89</v>
      </c>
      <c r="R91" s="240">
        <v>25331.96</v>
      </c>
      <c r="S91" s="233">
        <f t="shared" si="39"/>
        <v>292571.96999999997</v>
      </c>
      <c r="U91" s="240">
        <f t="shared" si="40"/>
        <v>59</v>
      </c>
      <c r="V91" s="240">
        <f t="shared" si="41"/>
        <v>59.749981327026028</v>
      </c>
      <c r="W91" s="240">
        <f t="shared" si="42"/>
        <v>60.249968878376706</v>
      </c>
      <c r="X91" s="240">
        <f t="shared" si="43"/>
        <v>58.779481663081008</v>
      </c>
      <c r="Y91" s="240">
        <f t="shared" si="43"/>
        <v>58.277130134587473</v>
      </c>
      <c r="Z91" s="240">
        <f t="shared" si="43"/>
        <v>58.625006254065148</v>
      </c>
      <c r="AA91" s="240">
        <f t="shared" si="43"/>
        <v>60</v>
      </c>
      <c r="AB91" s="240">
        <f t="shared" si="43"/>
        <v>62.999999999999993</v>
      </c>
      <c r="AC91" s="240">
        <f t="shared" si="50"/>
        <v>61.636937686621955</v>
      </c>
      <c r="AD91" s="240">
        <f t="shared" si="44"/>
        <v>62.375006118752758</v>
      </c>
      <c r="AE91" s="240">
        <f t="shared" si="45"/>
        <v>61.875006118752758</v>
      </c>
      <c r="AF91" s="240">
        <f t="shared" si="46"/>
        <v>62</v>
      </c>
      <c r="AG91" s="242">
        <f t="shared" si="47"/>
        <v>60.464043181771984</v>
      </c>
      <c r="AH91" s="242">
        <f t="shared" si="48"/>
        <v>725.56851818126381</v>
      </c>
      <c r="AI91" s="240"/>
      <c r="AL91" s="241">
        <v>1</v>
      </c>
      <c r="AM91" s="243">
        <f t="shared" si="49"/>
        <v>60.464043181771984</v>
      </c>
    </row>
    <row r="92" spans="1:39" s="241" customFormat="1" ht="12.75" x14ac:dyDescent="0.2">
      <c r="A92" s="232" t="s">
        <v>125</v>
      </c>
      <c r="B92" s="232" t="s">
        <v>224</v>
      </c>
      <c r="C92" s="238">
        <v>602.48</v>
      </c>
      <c r="D92" s="238">
        <v>599.61</v>
      </c>
      <c r="E92" s="238">
        <v>612.87</v>
      </c>
      <c r="F92" s="239">
        <v>35</v>
      </c>
      <c r="G92" s="233">
        <v>9037.2000000000007</v>
      </c>
      <c r="H92" s="233">
        <v>8585.34</v>
      </c>
      <c r="I92" s="233">
        <v>8434.7200000000012</v>
      </c>
      <c r="J92" s="233">
        <v>8434.7200000000012</v>
      </c>
      <c r="K92" s="233">
        <v>8434.7200000000012</v>
      </c>
      <c r="L92" s="233">
        <v>8094.74</v>
      </c>
      <c r="M92" s="240">
        <v>7794.93</v>
      </c>
      <c r="N92" s="240">
        <v>7794.93</v>
      </c>
      <c r="O92" s="240">
        <v>7794.93</v>
      </c>
      <c r="P92" s="240">
        <v>7967.3099999999995</v>
      </c>
      <c r="Q92" s="240">
        <v>7967.3099999999995</v>
      </c>
      <c r="R92" s="240">
        <v>7865.17</v>
      </c>
      <c r="S92" s="233">
        <f t="shared" si="39"/>
        <v>98206.02</v>
      </c>
      <c r="U92" s="240">
        <f t="shared" si="40"/>
        <v>15</v>
      </c>
      <c r="V92" s="240">
        <f t="shared" si="41"/>
        <v>14.25</v>
      </c>
      <c r="W92" s="240">
        <f t="shared" si="42"/>
        <v>14.000000000000002</v>
      </c>
      <c r="X92" s="240">
        <f t="shared" ref="X92:X142" si="51">IFERROR(J92/$D92,0)</f>
        <v>14.06701022331182</v>
      </c>
      <c r="Y92" s="240">
        <f t="shared" ref="Y92:Y142" si="52">IFERROR(K92/$D92,0)</f>
        <v>14.06701022331182</v>
      </c>
      <c r="Z92" s="240">
        <f t="shared" ref="Z92:Z142" si="53">IFERROR(L92/$D92,0)</f>
        <v>13.500008338753522</v>
      </c>
      <c r="AA92" s="240">
        <f t="shared" ref="AA92:AA142" si="54">IFERROR(M92/$D92,0)</f>
        <v>13</v>
      </c>
      <c r="AB92" s="240">
        <f t="shared" ref="AB92:AB142" si="55">IFERROR(N92/$D92,0)</f>
        <v>13</v>
      </c>
      <c r="AC92" s="240">
        <f t="shared" si="50"/>
        <v>12.718733173429928</v>
      </c>
      <c r="AD92" s="240">
        <f t="shared" si="44"/>
        <v>12.999999999999998</v>
      </c>
      <c r="AE92" s="240">
        <f t="shared" si="45"/>
        <v>12.999999999999998</v>
      </c>
      <c r="AF92" s="240">
        <f t="shared" si="46"/>
        <v>12.833341491670337</v>
      </c>
      <c r="AG92" s="242">
        <f t="shared" si="47"/>
        <v>13.536341954206449</v>
      </c>
      <c r="AH92" s="242">
        <f t="shared" si="48"/>
        <v>162.43610345047739</v>
      </c>
      <c r="AI92" s="240"/>
      <c r="AL92" s="241">
        <v>1</v>
      </c>
      <c r="AM92" s="243">
        <f t="shared" si="49"/>
        <v>13.536341954206449</v>
      </c>
    </row>
    <row r="93" spans="1:39" s="241" customFormat="1" ht="12.75" x14ac:dyDescent="0.2">
      <c r="A93" s="232" t="s">
        <v>126</v>
      </c>
      <c r="B93" s="232" t="s">
        <v>225</v>
      </c>
      <c r="C93" s="238">
        <v>803.3</v>
      </c>
      <c r="D93" s="238">
        <v>799.49</v>
      </c>
      <c r="E93" s="238">
        <v>817.16</v>
      </c>
      <c r="F93" s="239">
        <v>35</v>
      </c>
      <c r="G93" s="233">
        <v>0</v>
      </c>
      <c r="H93" s="233">
        <v>0</v>
      </c>
      <c r="I93" s="233">
        <v>0</v>
      </c>
      <c r="J93" s="233">
        <v>0</v>
      </c>
      <c r="K93" s="233">
        <v>0</v>
      </c>
      <c r="L93" s="233">
        <v>0</v>
      </c>
      <c r="M93" s="240">
        <v>0</v>
      </c>
      <c r="N93" s="240">
        <v>0</v>
      </c>
      <c r="O93" s="240">
        <v>0</v>
      </c>
      <c r="P93" s="240">
        <v>0</v>
      </c>
      <c r="Q93" s="240">
        <v>0</v>
      </c>
      <c r="R93" s="240">
        <v>0</v>
      </c>
      <c r="S93" s="233">
        <f t="shared" si="39"/>
        <v>0</v>
      </c>
      <c r="U93" s="240">
        <f t="shared" si="40"/>
        <v>0</v>
      </c>
      <c r="V93" s="240">
        <f t="shared" si="41"/>
        <v>0</v>
      </c>
      <c r="W93" s="240">
        <f t="shared" si="42"/>
        <v>0</v>
      </c>
      <c r="X93" s="240">
        <f t="shared" si="51"/>
        <v>0</v>
      </c>
      <c r="Y93" s="240">
        <f t="shared" si="52"/>
        <v>0</v>
      </c>
      <c r="Z93" s="240">
        <f t="shared" si="53"/>
        <v>0</v>
      </c>
      <c r="AA93" s="240">
        <f t="shared" si="54"/>
        <v>0</v>
      </c>
      <c r="AB93" s="240">
        <f t="shared" si="55"/>
        <v>0</v>
      </c>
      <c r="AC93" s="240">
        <f t="shared" si="50"/>
        <v>0</v>
      </c>
      <c r="AD93" s="240">
        <f t="shared" si="44"/>
        <v>0</v>
      </c>
      <c r="AE93" s="240">
        <f t="shared" si="45"/>
        <v>0</v>
      </c>
      <c r="AF93" s="240">
        <f t="shared" si="46"/>
        <v>0</v>
      </c>
      <c r="AG93" s="242">
        <f t="shared" si="47"/>
        <v>0</v>
      </c>
      <c r="AH93" s="242">
        <f t="shared" si="48"/>
        <v>0</v>
      </c>
      <c r="AI93" s="240"/>
      <c r="AL93" s="241">
        <v>1</v>
      </c>
      <c r="AM93" s="243">
        <f t="shared" si="49"/>
        <v>0</v>
      </c>
    </row>
    <row r="94" spans="1:39" s="241" customFormat="1" ht="12.75" x14ac:dyDescent="0.2">
      <c r="A94" s="232" t="s">
        <v>127</v>
      </c>
      <c r="B94" s="232" t="s">
        <v>227</v>
      </c>
      <c r="C94" s="238">
        <v>1204.95</v>
      </c>
      <c r="D94" s="238">
        <v>1199.23</v>
      </c>
      <c r="E94" s="238">
        <v>1225.74</v>
      </c>
      <c r="F94" s="239">
        <v>35</v>
      </c>
      <c r="G94" s="233">
        <v>1204.95</v>
      </c>
      <c r="H94" s="233">
        <v>1204.95</v>
      </c>
      <c r="I94" s="233">
        <v>1204.95</v>
      </c>
      <c r="J94" s="233">
        <v>1204.95</v>
      </c>
      <c r="K94" s="233">
        <v>1204.95</v>
      </c>
      <c r="L94" s="233">
        <v>1199.23</v>
      </c>
      <c r="M94" s="240">
        <v>1199.23</v>
      </c>
      <c r="N94" s="240">
        <v>1199.23</v>
      </c>
      <c r="O94" s="240">
        <v>1199.23</v>
      </c>
      <c r="P94" s="240">
        <v>1225.74</v>
      </c>
      <c r="Q94" s="240">
        <v>1225.74</v>
      </c>
      <c r="R94" s="240">
        <v>1225.74</v>
      </c>
      <c r="S94" s="233">
        <f t="shared" si="39"/>
        <v>14498.889999999998</v>
      </c>
      <c r="U94" s="240">
        <f t="shared" si="40"/>
        <v>1</v>
      </c>
      <c r="V94" s="240">
        <f t="shared" si="41"/>
        <v>1</v>
      </c>
      <c r="W94" s="240">
        <f t="shared" si="42"/>
        <v>1</v>
      </c>
      <c r="X94" s="240">
        <f t="shared" si="51"/>
        <v>1.0047697272416467</v>
      </c>
      <c r="Y94" s="240">
        <f t="shared" si="52"/>
        <v>1.0047697272416467</v>
      </c>
      <c r="Z94" s="240">
        <f t="shared" si="53"/>
        <v>1</v>
      </c>
      <c r="AA94" s="240">
        <f t="shared" si="54"/>
        <v>1</v>
      </c>
      <c r="AB94" s="240">
        <f t="shared" si="55"/>
        <v>1</v>
      </c>
      <c r="AC94" s="240">
        <f t="shared" si="50"/>
        <v>0.97837224860084526</v>
      </c>
      <c r="AD94" s="240">
        <f t="shared" si="44"/>
        <v>1</v>
      </c>
      <c r="AE94" s="240">
        <f t="shared" si="45"/>
        <v>1</v>
      </c>
      <c r="AF94" s="240">
        <f t="shared" si="46"/>
        <v>1</v>
      </c>
      <c r="AG94" s="242">
        <f t="shared" si="47"/>
        <v>0.9989926419236782</v>
      </c>
      <c r="AH94" s="242">
        <f t="shared" si="48"/>
        <v>11.987911703084139</v>
      </c>
      <c r="AI94" s="240"/>
      <c r="AL94" s="241">
        <v>1</v>
      </c>
      <c r="AM94" s="243">
        <f t="shared" si="49"/>
        <v>0.9989926419236782</v>
      </c>
    </row>
    <row r="95" spans="1:39" s="241" customFormat="1" ht="12.75" x14ac:dyDescent="0.2">
      <c r="A95" s="232" t="s">
        <v>128</v>
      </c>
      <c r="B95" s="232" t="s">
        <v>228</v>
      </c>
      <c r="C95" s="238">
        <v>100.64</v>
      </c>
      <c r="D95" s="238">
        <v>100.16</v>
      </c>
      <c r="E95" s="238">
        <v>102.38</v>
      </c>
      <c r="F95" s="239">
        <v>35</v>
      </c>
      <c r="G95" s="233">
        <v>3119.84</v>
      </c>
      <c r="H95" s="233">
        <v>3119.84</v>
      </c>
      <c r="I95" s="233">
        <v>3924.96</v>
      </c>
      <c r="J95" s="233">
        <v>3421.76</v>
      </c>
      <c r="K95" s="233">
        <v>3472.08</v>
      </c>
      <c r="L95" s="233">
        <v>3430.48</v>
      </c>
      <c r="M95" s="240">
        <v>3405.44</v>
      </c>
      <c r="N95" s="240">
        <v>3480.56</v>
      </c>
      <c r="O95" s="240">
        <v>3505.6000000000004</v>
      </c>
      <c r="P95" s="240">
        <v>3532.1099999999997</v>
      </c>
      <c r="Q95" s="240">
        <v>3532.1099999999997</v>
      </c>
      <c r="R95" s="240">
        <v>3583.2999999999997</v>
      </c>
      <c r="S95" s="233">
        <f t="shared" si="39"/>
        <v>41528.080000000002</v>
      </c>
      <c r="U95" s="240">
        <f t="shared" si="40"/>
        <v>31</v>
      </c>
      <c r="V95" s="240">
        <f t="shared" si="41"/>
        <v>31</v>
      </c>
      <c r="W95" s="240">
        <f t="shared" si="42"/>
        <v>39</v>
      </c>
      <c r="X95" s="240">
        <f t="shared" si="51"/>
        <v>34.162939297124602</v>
      </c>
      <c r="Y95" s="240">
        <f t="shared" si="52"/>
        <v>34.665335463258785</v>
      </c>
      <c r="Z95" s="240">
        <f t="shared" si="53"/>
        <v>34.25</v>
      </c>
      <c r="AA95" s="240">
        <f t="shared" si="54"/>
        <v>34</v>
      </c>
      <c r="AB95" s="240">
        <f t="shared" si="55"/>
        <v>34.75</v>
      </c>
      <c r="AC95" s="240">
        <f t="shared" si="50"/>
        <v>34.241062707560076</v>
      </c>
      <c r="AD95" s="240">
        <f t="shared" si="44"/>
        <v>34.5</v>
      </c>
      <c r="AE95" s="240">
        <f t="shared" si="45"/>
        <v>34.5</v>
      </c>
      <c r="AF95" s="240">
        <f t="shared" si="46"/>
        <v>35</v>
      </c>
      <c r="AG95" s="242">
        <f t="shared" si="47"/>
        <v>34.255778122328621</v>
      </c>
      <c r="AH95" s="242">
        <f t="shared" si="48"/>
        <v>411.06933746794346</v>
      </c>
      <c r="AI95" s="240"/>
      <c r="AL95" s="241">
        <v>1</v>
      </c>
      <c r="AM95" s="243">
        <f t="shared" si="49"/>
        <v>34.255778122328621</v>
      </c>
    </row>
    <row r="96" spans="1:39" s="241" customFormat="1" ht="12.75" x14ac:dyDescent="0.2">
      <c r="A96" s="232" t="s">
        <v>129</v>
      </c>
      <c r="B96" s="232" t="s">
        <v>229</v>
      </c>
      <c r="C96" s="238">
        <v>259.93</v>
      </c>
      <c r="D96" s="238">
        <v>258.67</v>
      </c>
      <c r="E96" s="238">
        <v>264.43</v>
      </c>
      <c r="F96" s="239">
        <v>35</v>
      </c>
      <c r="G96" s="233">
        <v>54325.35</v>
      </c>
      <c r="H96" s="233">
        <v>54325.340000000004</v>
      </c>
      <c r="I96" s="233">
        <v>53155.64</v>
      </c>
      <c r="J96" s="233">
        <v>54325.350000000006</v>
      </c>
      <c r="K96" s="233">
        <v>55430.04</v>
      </c>
      <c r="L96" s="233">
        <v>55938.33</v>
      </c>
      <c r="M96" s="240">
        <v>56972.07</v>
      </c>
      <c r="N96" s="240">
        <v>58362.419999999991</v>
      </c>
      <c r="O96" s="240">
        <v>58394.759999999995</v>
      </c>
      <c r="P96" s="240">
        <v>58302.5</v>
      </c>
      <c r="Q96" s="240">
        <v>57976.28</v>
      </c>
      <c r="R96" s="240">
        <v>58048.15</v>
      </c>
      <c r="S96" s="233">
        <f t="shared" si="39"/>
        <v>675556.2300000001</v>
      </c>
      <c r="U96" s="240">
        <f t="shared" si="40"/>
        <v>208.99992305620742</v>
      </c>
      <c r="V96" s="240">
        <f t="shared" si="41"/>
        <v>208.99988458431116</v>
      </c>
      <c r="W96" s="240">
        <f t="shared" si="42"/>
        <v>204.49982687646673</v>
      </c>
      <c r="X96" s="240">
        <f t="shared" si="51"/>
        <v>210.01797657246686</v>
      </c>
      <c r="Y96" s="240">
        <f t="shared" si="52"/>
        <v>214.28863030115591</v>
      </c>
      <c r="Z96" s="240">
        <f t="shared" si="53"/>
        <v>216.25364363861289</v>
      </c>
      <c r="AA96" s="240">
        <f t="shared" si="54"/>
        <v>220.25000966482389</v>
      </c>
      <c r="AB96" s="240">
        <f t="shared" si="55"/>
        <v>225.62500483241192</v>
      </c>
      <c r="AC96" s="240">
        <f t="shared" si="50"/>
        <v>220.83258329236469</v>
      </c>
      <c r="AD96" s="240">
        <f t="shared" si="44"/>
        <v>220.48368188178344</v>
      </c>
      <c r="AE96" s="240">
        <f t="shared" si="45"/>
        <v>219.25000945429792</v>
      </c>
      <c r="AF96" s="240">
        <f t="shared" si="46"/>
        <v>219.52180161101236</v>
      </c>
      <c r="AG96" s="242">
        <f t="shared" si="47"/>
        <v>215.75191464715962</v>
      </c>
      <c r="AH96" s="242">
        <f t="shared" si="48"/>
        <v>2589.0229757659154</v>
      </c>
      <c r="AI96" s="240"/>
      <c r="AL96" s="241">
        <v>1</v>
      </c>
      <c r="AM96" s="243">
        <f t="shared" si="49"/>
        <v>215.75191464715962</v>
      </c>
    </row>
    <row r="97" spans="1:39" s="241" customFormat="1" ht="12.75" x14ac:dyDescent="0.2">
      <c r="A97" s="232" t="s">
        <v>130</v>
      </c>
      <c r="B97" s="232" t="s">
        <v>230</v>
      </c>
      <c r="C97" s="238">
        <v>519.86</v>
      </c>
      <c r="D97" s="238">
        <v>517.34</v>
      </c>
      <c r="E97" s="238">
        <v>528.87</v>
      </c>
      <c r="F97" s="239">
        <v>35</v>
      </c>
      <c r="G97" s="233">
        <v>65957.210000000006</v>
      </c>
      <c r="H97" s="233">
        <v>66931.97</v>
      </c>
      <c r="I97" s="233">
        <v>67516.820000000007</v>
      </c>
      <c r="J97" s="233">
        <v>67841.73</v>
      </c>
      <c r="K97" s="233">
        <v>66931.97</v>
      </c>
      <c r="L97" s="233">
        <v>66220.149999999994</v>
      </c>
      <c r="M97" s="240">
        <v>65184.84</v>
      </c>
      <c r="N97" s="240">
        <v>64667.499999999993</v>
      </c>
      <c r="O97" s="240">
        <v>66090.2</v>
      </c>
      <c r="P97" s="240">
        <v>68092.009999999995</v>
      </c>
      <c r="Q97" s="240">
        <v>69678.62</v>
      </c>
      <c r="R97" s="240">
        <v>70207.489999999991</v>
      </c>
      <c r="S97" s="233">
        <f t="shared" si="39"/>
        <v>805320.50999999989</v>
      </c>
      <c r="U97" s="240">
        <f t="shared" si="40"/>
        <v>126.87494710114262</v>
      </c>
      <c r="V97" s="240">
        <f t="shared" si="41"/>
        <v>128.74999038202594</v>
      </c>
      <c r="W97" s="240">
        <f t="shared" si="42"/>
        <v>129.87500480898706</v>
      </c>
      <c r="X97" s="240">
        <f t="shared" si="51"/>
        <v>131.13567479800517</v>
      </c>
      <c r="Y97" s="240">
        <f t="shared" si="52"/>
        <v>129.37714075849539</v>
      </c>
      <c r="Z97" s="240">
        <f t="shared" si="53"/>
        <v>128.00121776781225</v>
      </c>
      <c r="AA97" s="240">
        <f t="shared" si="54"/>
        <v>125.99999999999999</v>
      </c>
      <c r="AB97" s="240">
        <f t="shared" si="55"/>
        <v>124.99999999999997</v>
      </c>
      <c r="AC97" s="240">
        <f t="shared" si="50"/>
        <v>124.96492521791744</v>
      </c>
      <c r="AD97" s="240">
        <f t="shared" si="44"/>
        <v>128.7499952729404</v>
      </c>
      <c r="AE97" s="240">
        <f t="shared" si="45"/>
        <v>131.74999527294042</v>
      </c>
      <c r="AF97" s="240">
        <f t="shared" si="46"/>
        <v>132.7499952729404</v>
      </c>
      <c r="AG97" s="242">
        <f t="shared" si="47"/>
        <v>128.60240722110061</v>
      </c>
      <c r="AH97" s="242">
        <f t="shared" si="48"/>
        <v>1543.2288866532072</v>
      </c>
      <c r="AI97" s="240"/>
      <c r="AL97" s="241">
        <v>1</v>
      </c>
      <c r="AM97" s="243">
        <f t="shared" si="49"/>
        <v>128.60240722110061</v>
      </c>
    </row>
    <row r="98" spans="1:39" s="241" customFormat="1" ht="12.75" x14ac:dyDescent="0.2">
      <c r="A98" s="232" t="s">
        <v>131</v>
      </c>
      <c r="B98" s="232" t="s">
        <v>231</v>
      </c>
      <c r="C98" s="238">
        <v>779.79</v>
      </c>
      <c r="D98" s="238">
        <v>776.02</v>
      </c>
      <c r="E98" s="238">
        <v>793.3</v>
      </c>
      <c r="F98" s="239">
        <v>35</v>
      </c>
      <c r="G98" s="233">
        <v>31581.48</v>
      </c>
      <c r="H98" s="233">
        <v>31191.599999999999</v>
      </c>
      <c r="I98" s="233">
        <v>32166.329999999998</v>
      </c>
      <c r="J98" s="233">
        <v>31971.39</v>
      </c>
      <c r="K98" s="233">
        <v>32686.19</v>
      </c>
      <c r="L98" s="233">
        <v>32592.84</v>
      </c>
      <c r="M98" s="240">
        <v>31816.82</v>
      </c>
      <c r="N98" s="240">
        <v>31816.82</v>
      </c>
      <c r="O98" s="240">
        <v>29488.760000000002</v>
      </c>
      <c r="P98" s="240">
        <v>32525.3</v>
      </c>
      <c r="Q98" s="240">
        <v>32525.3</v>
      </c>
      <c r="R98" s="240">
        <v>32525.3</v>
      </c>
      <c r="S98" s="233">
        <f t="shared" si="39"/>
        <v>382888.12999999995</v>
      </c>
      <c r="U98" s="240">
        <f t="shared" si="40"/>
        <v>40.499980764051863</v>
      </c>
      <c r="V98" s="240">
        <f t="shared" si="41"/>
        <v>40</v>
      </c>
      <c r="W98" s="240">
        <f t="shared" si="42"/>
        <v>41.249990382025928</v>
      </c>
      <c r="X98" s="240">
        <f t="shared" si="51"/>
        <v>41.199183010747149</v>
      </c>
      <c r="Y98" s="240">
        <f t="shared" si="52"/>
        <v>42.120293291410015</v>
      </c>
      <c r="Z98" s="240">
        <f t="shared" si="53"/>
        <v>42</v>
      </c>
      <c r="AA98" s="240">
        <f t="shared" si="54"/>
        <v>41</v>
      </c>
      <c r="AB98" s="240">
        <f t="shared" si="55"/>
        <v>41</v>
      </c>
      <c r="AC98" s="240">
        <f t="shared" si="50"/>
        <v>37.172267742342122</v>
      </c>
      <c r="AD98" s="240">
        <f t="shared" si="44"/>
        <v>41</v>
      </c>
      <c r="AE98" s="240">
        <f t="shared" si="45"/>
        <v>41</v>
      </c>
      <c r="AF98" s="240">
        <f t="shared" si="46"/>
        <v>41</v>
      </c>
      <c r="AG98" s="242">
        <f t="shared" si="47"/>
        <v>40.77014293254809</v>
      </c>
      <c r="AH98" s="242">
        <f t="shared" si="48"/>
        <v>489.24171519057705</v>
      </c>
      <c r="AI98" s="240"/>
      <c r="AL98" s="241">
        <v>1</v>
      </c>
      <c r="AM98" s="243">
        <f t="shared" si="49"/>
        <v>40.77014293254809</v>
      </c>
    </row>
    <row r="99" spans="1:39" s="241" customFormat="1" ht="12.75" x14ac:dyDescent="0.2">
      <c r="A99" s="232" t="s">
        <v>132</v>
      </c>
      <c r="B99" s="232" t="s">
        <v>232</v>
      </c>
      <c r="C99" s="238">
        <v>1039.72</v>
      </c>
      <c r="D99" s="238">
        <v>1034.69</v>
      </c>
      <c r="E99" s="238">
        <v>1057.73</v>
      </c>
      <c r="F99" s="239">
        <v>35</v>
      </c>
      <c r="G99" s="233">
        <v>3119.16</v>
      </c>
      <c r="H99" s="233">
        <v>3119.16</v>
      </c>
      <c r="I99" s="233">
        <v>3119.16</v>
      </c>
      <c r="J99" s="233">
        <v>3119.16</v>
      </c>
      <c r="K99" s="233">
        <v>3119.16</v>
      </c>
      <c r="L99" s="233">
        <v>3104.07</v>
      </c>
      <c r="M99" s="240">
        <v>3104.07</v>
      </c>
      <c r="N99" s="240">
        <v>3104.07</v>
      </c>
      <c r="O99" s="240">
        <v>3104.07</v>
      </c>
      <c r="P99" s="240">
        <v>3173.19</v>
      </c>
      <c r="Q99" s="240">
        <v>3173.19</v>
      </c>
      <c r="R99" s="240">
        <v>3173.19</v>
      </c>
      <c r="S99" s="233">
        <f t="shared" si="39"/>
        <v>37531.65</v>
      </c>
      <c r="U99" s="240">
        <f t="shared" si="40"/>
        <v>3</v>
      </c>
      <c r="V99" s="240">
        <f t="shared" si="41"/>
        <v>3</v>
      </c>
      <c r="W99" s="240">
        <f t="shared" si="42"/>
        <v>3</v>
      </c>
      <c r="X99" s="240">
        <f t="shared" si="51"/>
        <v>3.0145840783229758</v>
      </c>
      <c r="Y99" s="240">
        <f t="shared" si="52"/>
        <v>3.0145840783229758</v>
      </c>
      <c r="Z99" s="240">
        <f t="shared" si="53"/>
        <v>3</v>
      </c>
      <c r="AA99" s="240">
        <f t="shared" si="54"/>
        <v>3</v>
      </c>
      <c r="AB99" s="240">
        <f t="shared" si="55"/>
        <v>3</v>
      </c>
      <c r="AC99" s="240">
        <f t="shared" si="50"/>
        <v>2.934652510565078</v>
      </c>
      <c r="AD99" s="240">
        <f t="shared" si="44"/>
        <v>3</v>
      </c>
      <c r="AE99" s="240">
        <f t="shared" si="45"/>
        <v>3</v>
      </c>
      <c r="AF99" s="240">
        <f t="shared" si="46"/>
        <v>3</v>
      </c>
      <c r="AG99" s="242">
        <f t="shared" si="47"/>
        <v>2.9969850556009194</v>
      </c>
      <c r="AH99" s="242">
        <f t="shared" si="48"/>
        <v>35.963820667211031</v>
      </c>
      <c r="AI99" s="240"/>
      <c r="AL99" s="241">
        <v>1</v>
      </c>
      <c r="AM99" s="243">
        <f t="shared" si="49"/>
        <v>2.9969850556009194</v>
      </c>
    </row>
    <row r="100" spans="1:39" s="241" customFormat="1" ht="12.75" x14ac:dyDescent="0.2">
      <c r="A100" s="232" t="s">
        <v>133</v>
      </c>
      <c r="B100" s="232" t="s">
        <v>233</v>
      </c>
      <c r="C100" s="238">
        <v>1299.6500000000001</v>
      </c>
      <c r="D100" s="238">
        <v>1293.3699999999999</v>
      </c>
      <c r="E100" s="238">
        <v>1322.17</v>
      </c>
      <c r="F100" s="239">
        <v>35</v>
      </c>
      <c r="G100" s="233">
        <v>5198.6000000000004</v>
      </c>
      <c r="H100" s="233">
        <v>5198.6000000000004</v>
      </c>
      <c r="I100" s="233">
        <v>5198.6000000000004</v>
      </c>
      <c r="J100" s="233">
        <v>5198.6000000000004</v>
      </c>
      <c r="K100" s="233">
        <v>5198.6000000000004</v>
      </c>
      <c r="L100" s="233">
        <v>5173.4799999999996</v>
      </c>
      <c r="M100" s="240">
        <v>5173.4799999999996</v>
      </c>
      <c r="N100" s="240">
        <v>5302.82</v>
      </c>
      <c r="O100" s="240">
        <v>7760.22</v>
      </c>
      <c r="P100" s="240">
        <v>7933.02</v>
      </c>
      <c r="Q100" s="240">
        <v>7933.02</v>
      </c>
      <c r="R100" s="240">
        <v>7933.02</v>
      </c>
      <c r="S100" s="233">
        <f t="shared" si="39"/>
        <v>73202.060000000012</v>
      </c>
      <c r="U100" s="240">
        <f t="shared" si="40"/>
        <v>4</v>
      </c>
      <c r="V100" s="240">
        <f t="shared" si="41"/>
        <v>4</v>
      </c>
      <c r="W100" s="240">
        <f t="shared" si="42"/>
        <v>4</v>
      </c>
      <c r="X100" s="240">
        <f t="shared" si="51"/>
        <v>4.0194221297849806</v>
      </c>
      <c r="Y100" s="240">
        <f t="shared" si="52"/>
        <v>4.0194221297849806</v>
      </c>
      <c r="Z100" s="240">
        <f t="shared" si="53"/>
        <v>4</v>
      </c>
      <c r="AA100" s="240">
        <f t="shared" si="54"/>
        <v>4</v>
      </c>
      <c r="AB100" s="240">
        <f t="shared" si="55"/>
        <v>4.1000023195218693</v>
      </c>
      <c r="AC100" s="240">
        <f t="shared" si="50"/>
        <v>5.8693057624965022</v>
      </c>
      <c r="AD100" s="240">
        <f t="shared" si="44"/>
        <v>6</v>
      </c>
      <c r="AE100" s="240">
        <f t="shared" si="45"/>
        <v>6</v>
      </c>
      <c r="AF100" s="240">
        <f t="shared" si="46"/>
        <v>6</v>
      </c>
      <c r="AG100" s="242">
        <f t="shared" si="47"/>
        <v>4.6673460284656949</v>
      </c>
      <c r="AH100" s="242">
        <f t="shared" si="48"/>
        <v>56.008152341588335</v>
      </c>
      <c r="AI100" s="240"/>
      <c r="AL100" s="241">
        <v>1</v>
      </c>
      <c r="AM100" s="243">
        <f t="shared" si="49"/>
        <v>4.6673460284656949</v>
      </c>
    </row>
    <row r="101" spans="1:39" s="241" customFormat="1" ht="12.75" x14ac:dyDescent="0.2">
      <c r="A101" s="232" t="s">
        <v>134</v>
      </c>
      <c r="B101" s="232" t="s">
        <v>234</v>
      </c>
      <c r="C101" s="238">
        <v>1559.58</v>
      </c>
      <c r="D101" s="238">
        <v>1552.04</v>
      </c>
      <c r="E101" s="238">
        <v>1586.6</v>
      </c>
      <c r="F101" s="239">
        <v>35</v>
      </c>
      <c r="G101" s="233">
        <v>1559.58</v>
      </c>
      <c r="H101" s="233">
        <v>1559.58</v>
      </c>
      <c r="I101" s="233">
        <v>1559.58</v>
      </c>
      <c r="J101" s="233">
        <v>1559.58</v>
      </c>
      <c r="K101" s="233">
        <v>1559.58</v>
      </c>
      <c r="L101" s="233">
        <v>1552.04</v>
      </c>
      <c r="M101" s="240">
        <v>1552.04</v>
      </c>
      <c r="N101" s="240">
        <v>1552.04</v>
      </c>
      <c r="O101" s="240">
        <v>1552.04</v>
      </c>
      <c r="P101" s="240">
        <v>1586.6</v>
      </c>
      <c r="Q101" s="240">
        <v>1586.6</v>
      </c>
      <c r="R101" s="240">
        <v>1586.6</v>
      </c>
      <c r="S101" s="233">
        <f t="shared" si="39"/>
        <v>18765.86</v>
      </c>
      <c r="U101" s="240">
        <f t="shared" si="40"/>
        <v>1</v>
      </c>
      <c r="V101" s="240">
        <f t="shared" si="41"/>
        <v>1</v>
      </c>
      <c r="W101" s="240">
        <f t="shared" si="42"/>
        <v>1</v>
      </c>
      <c r="X101" s="240">
        <f t="shared" si="51"/>
        <v>1.004858122213345</v>
      </c>
      <c r="Y101" s="240">
        <f t="shared" si="52"/>
        <v>1.004858122213345</v>
      </c>
      <c r="Z101" s="240">
        <f t="shared" si="53"/>
        <v>1</v>
      </c>
      <c r="AA101" s="240">
        <f t="shared" si="54"/>
        <v>1</v>
      </c>
      <c r="AB101" s="240">
        <f t="shared" si="55"/>
        <v>1</v>
      </c>
      <c r="AC101" s="240">
        <f t="shared" si="50"/>
        <v>0.97821757216689775</v>
      </c>
      <c r="AD101" s="240">
        <f t="shared" si="44"/>
        <v>1</v>
      </c>
      <c r="AE101" s="240">
        <f t="shared" si="45"/>
        <v>1</v>
      </c>
      <c r="AF101" s="240">
        <f t="shared" si="46"/>
        <v>1</v>
      </c>
      <c r="AG101" s="242">
        <f t="shared" si="47"/>
        <v>0.99899448471613228</v>
      </c>
      <c r="AH101" s="242">
        <f t="shared" si="48"/>
        <v>11.987933816593587</v>
      </c>
      <c r="AI101" s="240"/>
      <c r="AL101" s="241">
        <v>1</v>
      </c>
      <c r="AM101" s="243">
        <f t="shared" si="49"/>
        <v>0.99899448471613228</v>
      </c>
    </row>
    <row r="102" spans="1:39" s="241" customFormat="1" ht="12.75" x14ac:dyDescent="0.2">
      <c r="A102" s="232" t="s">
        <v>135</v>
      </c>
      <c r="B102" s="232" t="s">
        <v>235</v>
      </c>
      <c r="C102" s="238">
        <v>130.27000000000001</v>
      </c>
      <c r="D102" s="238">
        <v>129.63</v>
      </c>
      <c r="E102" s="238">
        <v>132.52000000000001</v>
      </c>
      <c r="F102" s="239">
        <v>35</v>
      </c>
      <c r="G102" s="233">
        <v>3517.29</v>
      </c>
      <c r="H102" s="233">
        <v>3387.0200000000004</v>
      </c>
      <c r="I102" s="233">
        <v>3387.0200000000004</v>
      </c>
      <c r="J102" s="233">
        <v>3256.74</v>
      </c>
      <c r="K102" s="233">
        <v>3126.4800000000005</v>
      </c>
      <c r="L102" s="233">
        <v>3111.12</v>
      </c>
      <c r="M102" s="240">
        <v>2851.8599999999997</v>
      </c>
      <c r="N102" s="240">
        <v>2722.23</v>
      </c>
      <c r="O102" s="240">
        <v>2981.4900000000002</v>
      </c>
      <c r="P102" s="240">
        <v>3180.48</v>
      </c>
      <c r="Q102" s="240">
        <v>3511.7799999999997</v>
      </c>
      <c r="R102" s="240">
        <v>3644.2999999999997</v>
      </c>
      <c r="S102" s="233">
        <f t="shared" si="39"/>
        <v>38677.810000000005</v>
      </c>
      <c r="U102" s="240">
        <f t="shared" si="40"/>
        <v>26.999999999999996</v>
      </c>
      <c r="V102" s="240">
        <f t="shared" si="41"/>
        <v>26</v>
      </c>
      <c r="W102" s="240">
        <f t="shared" si="42"/>
        <v>26</v>
      </c>
      <c r="X102" s="240">
        <f t="shared" si="51"/>
        <v>25.12335107613978</v>
      </c>
      <c r="Y102" s="240">
        <f t="shared" si="52"/>
        <v>24.118491090025461</v>
      </c>
      <c r="Z102" s="240">
        <f t="shared" si="53"/>
        <v>24</v>
      </c>
      <c r="AA102" s="240">
        <f t="shared" si="54"/>
        <v>22</v>
      </c>
      <c r="AB102" s="240">
        <f t="shared" si="55"/>
        <v>21</v>
      </c>
      <c r="AC102" s="240">
        <f t="shared" si="50"/>
        <v>22.49841533353456</v>
      </c>
      <c r="AD102" s="240">
        <f t="shared" si="44"/>
        <v>24</v>
      </c>
      <c r="AE102" s="240">
        <f t="shared" si="45"/>
        <v>26.499999999999996</v>
      </c>
      <c r="AF102" s="240">
        <f t="shared" si="46"/>
        <v>27.499999999999996</v>
      </c>
      <c r="AG102" s="242">
        <f t="shared" si="47"/>
        <v>24.645021458308317</v>
      </c>
      <c r="AH102" s="242">
        <f t="shared" si="48"/>
        <v>295.74025749969979</v>
      </c>
      <c r="AI102" s="240"/>
      <c r="AL102" s="241">
        <v>1</v>
      </c>
      <c r="AM102" s="243">
        <f t="shared" si="49"/>
        <v>24.645021458308317</v>
      </c>
    </row>
    <row r="103" spans="1:39" s="241" customFormat="1" ht="12.75" x14ac:dyDescent="0.2">
      <c r="A103" s="232" t="s">
        <v>136</v>
      </c>
      <c r="B103" s="232" t="s">
        <v>236</v>
      </c>
      <c r="C103" s="238">
        <v>318.33999999999997</v>
      </c>
      <c r="D103" s="238">
        <v>316.77999999999997</v>
      </c>
      <c r="E103" s="238">
        <v>323.67</v>
      </c>
      <c r="F103" s="239">
        <v>35</v>
      </c>
      <c r="G103" s="233">
        <v>636.67999999999995</v>
      </c>
      <c r="H103" s="233">
        <v>636.67999999999995</v>
      </c>
      <c r="I103" s="233">
        <v>636.67999999999995</v>
      </c>
      <c r="J103" s="233">
        <v>636.67999999999995</v>
      </c>
      <c r="K103" s="233">
        <v>636.67999999999995</v>
      </c>
      <c r="L103" s="233">
        <v>633.55999999999995</v>
      </c>
      <c r="M103" s="240">
        <v>633.55999999999995</v>
      </c>
      <c r="N103" s="240">
        <v>633.55999999999995</v>
      </c>
      <c r="O103" s="240">
        <v>633.55999999999995</v>
      </c>
      <c r="P103" s="240">
        <v>647.34</v>
      </c>
      <c r="Q103" s="240">
        <v>647.34</v>
      </c>
      <c r="R103" s="240">
        <v>647.34</v>
      </c>
      <c r="S103" s="233">
        <f t="shared" si="39"/>
        <v>7659.66</v>
      </c>
      <c r="U103" s="240">
        <f t="shared" si="40"/>
        <v>2</v>
      </c>
      <c r="V103" s="240">
        <f t="shared" si="41"/>
        <v>2</v>
      </c>
      <c r="W103" s="240">
        <f t="shared" si="42"/>
        <v>2</v>
      </c>
      <c r="X103" s="240">
        <f t="shared" si="51"/>
        <v>2.00984910663552</v>
      </c>
      <c r="Y103" s="240">
        <f t="shared" si="52"/>
        <v>2.00984910663552</v>
      </c>
      <c r="Z103" s="240">
        <f t="shared" si="53"/>
        <v>2</v>
      </c>
      <c r="AA103" s="240">
        <f t="shared" si="54"/>
        <v>2</v>
      </c>
      <c r="AB103" s="240">
        <f t="shared" si="55"/>
        <v>2</v>
      </c>
      <c r="AC103" s="240">
        <f t="shared" si="50"/>
        <v>1.9574257731640248</v>
      </c>
      <c r="AD103" s="240">
        <f t="shared" si="44"/>
        <v>2</v>
      </c>
      <c r="AE103" s="240">
        <f t="shared" si="45"/>
        <v>2</v>
      </c>
      <c r="AF103" s="240">
        <f t="shared" si="46"/>
        <v>2</v>
      </c>
      <c r="AG103" s="242">
        <f t="shared" si="47"/>
        <v>1.9980936655362556</v>
      </c>
      <c r="AH103" s="242">
        <f t="shared" si="48"/>
        <v>23.977123986435068</v>
      </c>
      <c r="AI103" s="240"/>
      <c r="AL103" s="241">
        <v>1</v>
      </c>
      <c r="AM103" s="243">
        <f t="shared" si="49"/>
        <v>1.9980936655362556</v>
      </c>
    </row>
    <row r="104" spans="1:39" s="241" customFormat="1" ht="12.75" x14ac:dyDescent="0.2">
      <c r="A104" s="232" t="s">
        <v>137</v>
      </c>
      <c r="B104" s="232" t="s">
        <v>237</v>
      </c>
      <c r="C104" s="238">
        <v>159.54</v>
      </c>
      <c r="D104" s="238">
        <v>158.75</v>
      </c>
      <c r="E104" s="238">
        <v>162.21</v>
      </c>
      <c r="F104" s="239">
        <v>35</v>
      </c>
      <c r="G104" s="233">
        <v>0</v>
      </c>
      <c r="H104" s="233">
        <v>0</v>
      </c>
      <c r="I104" s="233">
        <v>0</v>
      </c>
      <c r="J104" s="233">
        <v>0</v>
      </c>
      <c r="K104" s="233">
        <v>0</v>
      </c>
      <c r="L104" s="233">
        <v>0</v>
      </c>
      <c r="M104" s="240">
        <v>0</v>
      </c>
      <c r="N104" s="240">
        <v>0</v>
      </c>
      <c r="O104" s="240">
        <v>0</v>
      </c>
      <c r="P104" s="240">
        <v>0</v>
      </c>
      <c r="Q104" s="240">
        <v>0</v>
      </c>
      <c r="R104" s="240">
        <v>0</v>
      </c>
      <c r="S104" s="233">
        <f t="shared" si="39"/>
        <v>0</v>
      </c>
      <c r="U104" s="240">
        <f t="shared" si="40"/>
        <v>0</v>
      </c>
      <c r="V104" s="240">
        <f t="shared" si="41"/>
        <v>0</v>
      </c>
      <c r="W104" s="240">
        <f t="shared" si="42"/>
        <v>0</v>
      </c>
      <c r="X104" s="240">
        <f t="shared" si="51"/>
        <v>0</v>
      </c>
      <c r="Y104" s="240">
        <f t="shared" si="52"/>
        <v>0</v>
      </c>
      <c r="Z104" s="240">
        <f t="shared" si="53"/>
        <v>0</v>
      </c>
      <c r="AA104" s="240">
        <f t="shared" si="54"/>
        <v>0</v>
      </c>
      <c r="AB104" s="240">
        <f t="shared" si="55"/>
        <v>0</v>
      </c>
      <c r="AC104" s="240">
        <f t="shared" si="50"/>
        <v>0</v>
      </c>
      <c r="AD104" s="240">
        <f t="shared" si="44"/>
        <v>0</v>
      </c>
      <c r="AE104" s="240">
        <f t="shared" si="45"/>
        <v>0</v>
      </c>
      <c r="AF104" s="240">
        <f t="shared" si="46"/>
        <v>0</v>
      </c>
      <c r="AG104" s="242">
        <f t="shared" si="47"/>
        <v>0</v>
      </c>
      <c r="AH104" s="242">
        <f t="shared" si="48"/>
        <v>0</v>
      </c>
      <c r="AI104" s="240"/>
      <c r="AL104" s="241">
        <v>1</v>
      </c>
      <c r="AM104" s="243">
        <f t="shared" si="49"/>
        <v>0</v>
      </c>
    </row>
    <row r="105" spans="1:39" s="241" customFormat="1" ht="12.75" x14ac:dyDescent="0.2">
      <c r="A105" s="232" t="s">
        <v>138</v>
      </c>
      <c r="B105" s="232" t="s">
        <v>238</v>
      </c>
      <c r="C105" s="238">
        <v>376.28</v>
      </c>
      <c r="D105" s="238">
        <v>374.45</v>
      </c>
      <c r="E105" s="238">
        <v>382.38</v>
      </c>
      <c r="F105" s="239">
        <v>35</v>
      </c>
      <c r="G105" s="233">
        <v>30290.54</v>
      </c>
      <c r="H105" s="233">
        <v>30384.61</v>
      </c>
      <c r="I105" s="233">
        <v>30478.68</v>
      </c>
      <c r="J105" s="233">
        <v>29443.910000000003</v>
      </c>
      <c r="K105" s="233">
        <v>28315.07</v>
      </c>
      <c r="L105" s="233">
        <v>28177.360000000001</v>
      </c>
      <c r="M105" s="240">
        <v>28270.969999999998</v>
      </c>
      <c r="N105" s="240">
        <v>28177.369999999995</v>
      </c>
      <c r="O105" s="240">
        <v>27615.689999999995</v>
      </c>
      <c r="P105" s="240">
        <v>28385.56</v>
      </c>
      <c r="Q105" s="240">
        <v>28391.710000000003</v>
      </c>
      <c r="R105" s="240">
        <v>28774.1</v>
      </c>
      <c r="S105" s="233">
        <f t="shared" si="39"/>
        <v>346705.57</v>
      </c>
      <c r="U105" s="240">
        <f t="shared" si="40"/>
        <v>80.500000000000014</v>
      </c>
      <c r="V105" s="240">
        <f t="shared" si="41"/>
        <v>80.750000000000014</v>
      </c>
      <c r="W105" s="240">
        <f t="shared" si="42"/>
        <v>81</v>
      </c>
      <c r="X105" s="240">
        <f t="shared" si="51"/>
        <v>78.632420883963164</v>
      </c>
      <c r="Y105" s="240">
        <f t="shared" si="52"/>
        <v>75.61775938042463</v>
      </c>
      <c r="Z105" s="240">
        <f t="shared" si="53"/>
        <v>75.249993323541204</v>
      </c>
      <c r="AA105" s="240">
        <f t="shared" si="54"/>
        <v>75.49998664708238</v>
      </c>
      <c r="AB105" s="240">
        <f t="shared" si="55"/>
        <v>75.250020029376415</v>
      </c>
      <c r="AC105" s="240">
        <f t="shared" si="50"/>
        <v>72.220539777184982</v>
      </c>
      <c r="AD105" s="240">
        <f t="shared" si="44"/>
        <v>74.233903446832997</v>
      </c>
      <c r="AE105" s="240">
        <f t="shared" si="45"/>
        <v>74.249986924002314</v>
      </c>
      <c r="AF105" s="240">
        <f t="shared" si="46"/>
        <v>75.2500130759977</v>
      </c>
      <c r="AG105" s="242">
        <f t="shared" si="47"/>
        <v>76.537885290700487</v>
      </c>
      <c r="AH105" s="242">
        <f t="shared" si="48"/>
        <v>918.45462348840579</v>
      </c>
      <c r="AI105" s="240"/>
      <c r="AL105" s="241">
        <v>1</v>
      </c>
      <c r="AM105" s="243">
        <f t="shared" si="49"/>
        <v>76.537885290700487</v>
      </c>
    </row>
    <row r="106" spans="1:39" s="241" customFormat="1" ht="12.75" x14ac:dyDescent="0.2">
      <c r="A106" s="232" t="s">
        <v>139</v>
      </c>
      <c r="B106" s="232" t="s">
        <v>239</v>
      </c>
      <c r="C106" s="238">
        <v>752.55</v>
      </c>
      <c r="D106" s="238">
        <v>748.91</v>
      </c>
      <c r="E106" s="238">
        <v>764.76</v>
      </c>
      <c r="F106" s="239">
        <v>35</v>
      </c>
      <c r="G106" s="233">
        <v>21823.95</v>
      </c>
      <c r="H106" s="233">
        <v>21823.95</v>
      </c>
      <c r="I106" s="233">
        <v>21823.95</v>
      </c>
      <c r="J106" s="233">
        <v>21071.4</v>
      </c>
      <c r="K106" s="233">
        <v>21541.74</v>
      </c>
      <c r="L106" s="233">
        <v>21718.39</v>
      </c>
      <c r="M106" s="240">
        <v>21718.39</v>
      </c>
      <c r="N106" s="240">
        <v>23028.98</v>
      </c>
      <c r="O106" s="240">
        <v>23216.21</v>
      </c>
      <c r="P106" s="240">
        <v>23707.56</v>
      </c>
      <c r="Q106" s="240">
        <v>23707.56</v>
      </c>
      <c r="R106" s="240">
        <v>23707.56</v>
      </c>
      <c r="S106" s="233">
        <f t="shared" si="39"/>
        <v>268889.64</v>
      </c>
      <c r="U106" s="240">
        <f t="shared" si="40"/>
        <v>29.000000000000004</v>
      </c>
      <c r="V106" s="240">
        <f t="shared" si="41"/>
        <v>29.000000000000004</v>
      </c>
      <c r="W106" s="240">
        <f t="shared" si="42"/>
        <v>29.000000000000004</v>
      </c>
      <c r="X106" s="240">
        <f t="shared" si="51"/>
        <v>28.136091119093084</v>
      </c>
      <c r="Y106" s="240">
        <f t="shared" si="52"/>
        <v>28.764123860009885</v>
      </c>
      <c r="Z106" s="240">
        <f t="shared" si="53"/>
        <v>29</v>
      </c>
      <c r="AA106" s="240">
        <f t="shared" si="54"/>
        <v>29</v>
      </c>
      <c r="AB106" s="240">
        <f t="shared" si="55"/>
        <v>30.749996661815171</v>
      </c>
      <c r="AC106" s="240">
        <f t="shared" si="50"/>
        <v>30.357510853078089</v>
      </c>
      <c r="AD106" s="240">
        <f t="shared" si="44"/>
        <v>31.000000000000004</v>
      </c>
      <c r="AE106" s="240">
        <f t="shared" si="45"/>
        <v>31.000000000000004</v>
      </c>
      <c r="AF106" s="240">
        <f t="shared" si="46"/>
        <v>31.000000000000004</v>
      </c>
      <c r="AG106" s="242">
        <f t="shared" si="47"/>
        <v>29.667310207833022</v>
      </c>
      <c r="AH106" s="242">
        <f t="shared" si="48"/>
        <v>356.00772249399625</v>
      </c>
      <c r="AI106" s="240"/>
      <c r="AL106" s="241">
        <v>1</v>
      </c>
      <c r="AM106" s="243">
        <f t="shared" si="49"/>
        <v>29.667310207833022</v>
      </c>
    </row>
    <row r="107" spans="1:39" s="241" customFormat="1" ht="12.75" x14ac:dyDescent="0.2">
      <c r="A107" s="232" t="s">
        <v>140</v>
      </c>
      <c r="B107" s="232" t="s">
        <v>240</v>
      </c>
      <c r="C107" s="238">
        <v>1128.83</v>
      </c>
      <c r="D107" s="238">
        <v>1123.3699999999999</v>
      </c>
      <c r="E107" s="238">
        <v>1147.1500000000001</v>
      </c>
      <c r="F107" s="239">
        <v>35</v>
      </c>
      <c r="G107" s="233">
        <v>13545.96</v>
      </c>
      <c r="H107" s="233">
        <v>13545.96</v>
      </c>
      <c r="I107" s="233">
        <v>13545.96</v>
      </c>
      <c r="J107" s="233">
        <v>13545.96</v>
      </c>
      <c r="K107" s="233">
        <v>13545.96</v>
      </c>
      <c r="L107" s="233">
        <v>12357.07</v>
      </c>
      <c r="M107" s="240">
        <v>12357.07</v>
      </c>
      <c r="N107" s="240">
        <v>12357.07</v>
      </c>
      <c r="O107" s="240">
        <v>12357.07</v>
      </c>
      <c r="P107" s="240">
        <v>12618.650000000001</v>
      </c>
      <c r="Q107" s="240">
        <v>12427.46</v>
      </c>
      <c r="R107" s="240">
        <v>10324.35</v>
      </c>
      <c r="S107" s="233">
        <f t="shared" si="39"/>
        <v>152528.54</v>
      </c>
      <c r="U107" s="240">
        <f t="shared" si="40"/>
        <v>12</v>
      </c>
      <c r="V107" s="240">
        <f t="shared" si="41"/>
        <v>12</v>
      </c>
      <c r="W107" s="240">
        <f t="shared" si="42"/>
        <v>12</v>
      </c>
      <c r="X107" s="240">
        <f t="shared" si="51"/>
        <v>12.058324505728301</v>
      </c>
      <c r="Y107" s="240">
        <f t="shared" si="52"/>
        <v>12.058324505728301</v>
      </c>
      <c r="Z107" s="240">
        <f t="shared" si="53"/>
        <v>11</v>
      </c>
      <c r="AA107" s="240">
        <f t="shared" si="54"/>
        <v>11</v>
      </c>
      <c r="AB107" s="240">
        <f t="shared" si="55"/>
        <v>11</v>
      </c>
      <c r="AC107" s="240">
        <f t="shared" si="50"/>
        <v>10.771974022577691</v>
      </c>
      <c r="AD107" s="240">
        <f t="shared" si="44"/>
        <v>11</v>
      </c>
      <c r="AE107" s="240">
        <f t="shared" si="45"/>
        <v>10.833334786209299</v>
      </c>
      <c r="AF107" s="240">
        <f t="shared" si="46"/>
        <v>9</v>
      </c>
      <c r="AG107" s="242">
        <f t="shared" si="47"/>
        <v>11.226829818353634</v>
      </c>
      <c r="AH107" s="242">
        <f t="shared" si="48"/>
        <v>134.7219578202436</v>
      </c>
      <c r="AI107" s="240"/>
      <c r="AL107" s="241">
        <v>1</v>
      </c>
      <c r="AM107" s="243">
        <f t="shared" si="49"/>
        <v>11.226829818353634</v>
      </c>
    </row>
    <row r="108" spans="1:39" s="241" customFormat="1" ht="12.75" x14ac:dyDescent="0.2">
      <c r="A108" s="232" t="s">
        <v>141</v>
      </c>
      <c r="B108" s="232" t="s">
        <v>241</v>
      </c>
      <c r="C108" s="238">
        <v>1505.11</v>
      </c>
      <c r="D108" s="238">
        <v>1497.83</v>
      </c>
      <c r="E108" s="238">
        <v>1529.53</v>
      </c>
      <c r="F108" s="239">
        <v>35</v>
      </c>
      <c r="G108" s="233">
        <v>1505.11</v>
      </c>
      <c r="H108" s="233">
        <v>1505.11</v>
      </c>
      <c r="I108" s="233">
        <v>1505.11</v>
      </c>
      <c r="J108" s="233">
        <v>1505.11</v>
      </c>
      <c r="K108" s="233">
        <v>1505.11</v>
      </c>
      <c r="L108" s="233">
        <v>1497.83</v>
      </c>
      <c r="M108" s="240">
        <v>1497.83</v>
      </c>
      <c r="N108" s="240">
        <v>1497.83</v>
      </c>
      <c r="O108" s="240">
        <v>1497.83</v>
      </c>
      <c r="P108" s="240">
        <v>1529.53</v>
      </c>
      <c r="Q108" s="240">
        <v>1529.53</v>
      </c>
      <c r="R108" s="240">
        <v>1529.53</v>
      </c>
      <c r="S108" s="233">
        <f t="shared" ref="S108:S143" si="56">SUM(G108:R108)</f>
        <v>18105.46</v>
      </c>
      <c r="U108" s="240">
        <f t="shared" si="40"/>
        <v>1</v>
      </c>
      <c r="V108" s="240">
        <f t="shared" si="41"/>
        <v>1</v>
      </c>
      <c r="W108" s="240">
        <f t="shared" si="42"/>
        <v>1</v>
      </c>
      <c r="X108" s="240">
        <f t="shared" si="51"/>
        <v>1.004860364660876</v>
      </c>
      <c r="Y108" s="240">
        <f t="shared" si="52"/>
        <v>1.004860364660876</v>
      </c>
      <c r="Z108" s="240">
        <f t="shared" si="53"/>
        <v>1</v>
      </c>
      <c r="AA108" s="240">
        <f t="shared" si="54"/>
        <v>1</v>
      </c>
      <c r="AB108" s="240">
        <f t="shared" si="55"/>
        <v>1</v>
      </c>
      <c r="AC108" s="240">
        <f t="shared" si="50"/>
        <v>0.97927467914980415</v>
      </c>
      <c r="AD108" s="240">
        <f t="shared" si="44"/>
        <v>1</v>
      </c>
      <c r="AE108" s="240">
        <f t="shared" si="45"/>
        <v>1</v>
      </c>
      <c r="AF108" s="240">
        <f t="shared" si="46"/>
        <v>1</v>
      </c>
      <c r="AG108" s="242">
        <f t="shared" ref="AG108:AG143" si="57">IFERROR(AVERAGE(U108:AF108),0)</f>
        <v>0.99908295070596298</v>
      </c>
      <c r="AH108" s="242">
        <f t="shared" ref="AH108:AH143" si="58">SUM(U108:AF108)</f>
        <v>11.988995408471556</v>
      </c>
      <c r="AI108" s="240"/>
      <c r="AL108" s="241">
        <v>1</v>
      </c>
      <c r="AM108" s="243">
        <f t="shared" si="49"/>
        <v>0.99908295070596298</v>
      </c>
    </row>
    <row r="109" spans="1:39" s="241" customFormat="1" ht="12.75" x14ac:dyDescent="0.2">
      <c r="A109" s="232" t="s">
        <v>142</v>
      </c>
      <c r="B109" s="232" t="s">
        <v>243</v>
      </c>
      <c r="C109" s="238">
        <v>188.57</v>
      </c>
      <c r="D109" s="238">
        <v>187.66</v>
      </c>
      <c r="E109" s="238">
        <v>191.63</v>
      </c>
      <c r="F109" s="239">
        <v>35</v>
      </c>
      <c r="G109" s="233">
        <v>2734.2599999999998</v>
      </c>
      <c r="H109" s="233">
        <v>2828.5499999999997</v>
      </c>
      <c r="I109" s="233">
        <v>2828.5499999999997</v>
      </c>
      <c r="J109" s="233">
        <v>3017.12</v>
      </c>
      <c r="K109" s="233">
        <v>3111.4</v>
      </c>
      <c r="L109" s="233">
        <v>3190.2200000000003</v>
      </c>
      <c r="M109" s="240">
        <v>3002.5599999999995</v>
      </c>
      <c r="N109" s="240">
        <v>3002.56</v>
      </c>
      <c r="O109" s="240">
        <v>3002.56</v>
      </c>
      <c r="P109" s="240">
        <v>3066.08</v>
      </c>
      <c r="Q109" s="240">
        <v>3353.53</v>
      </c>
      <c r="R109" s="240">
        <v>3449.34</v>
      </c>
      <c r="S109" s="233">
        <f t="shared" si="56"/>
        <v>36586.729999999996</v>
      </c>
      <c r="U109" s="240">
        <f t="shared" si="40"/>
        <v>14.49997348464761</v>
      </c>
      <c r="V109" s="240">
        <f t="shared" si="41"/>
        <v>14.999999999999998</v>
      </c>
      <c r="W109" s="240">
        <f t="shared" si="42"/>
        <v>14.999999999999998</v>
      </c>
      <c r="X109" s="240">
        <f t="shared" si="51"/>
        <v>16.077587125652776</v>
      </c>
      <c r="Y109" s="240">
        <f t="shared" si="52"/>
        <v>16.579985079398913</v>
      </c>
      <c r="Z109" s="240">
        <f t="shared" si="53"/>
        <v>17</v>
      </c>
      <c r="AA109" s="240">
        <f t="shared" si="54"/>
        <v>15.999999999999998</v>
      </c>
      <c r="AB109" s="240">
        <f t="shared" si="55"/>
        <v>16</v>
      </c>
      <c r="AC109" s="240">
        <f t="shared" si="50"/>
        <v>15.668527892292438</v>
      </c>
      <c r="AD109" s="240">
        <f t="shared" si="44"/>
        <v>16</v>
      </c>
      <c r="AE109" s="240">
        <f t="shared" si="45"/>
        <v>17.500026091948026</v>
      </c>
      <c r="AF109" s="240">
        <f t="shared" si="46"/>
        <v>18</v>
      </c>
      <c r="AG109" s="242">
        <f t="shared" si="57"/>
        <v>16.110508306161645</v>
      </c>
      <c r="AH109" s="242">
        <f t="shared" si="58"/>
        <v>193.32609967393975</v>
      </c>
      <c r="AI109" s="240"/>
      <c r="AL109" s="241">
        <v>1</v>
      </c>
      <c r="AM109" s="243">
        <f t="shared" si="49"/>
        <v>16.110508306161645</v>
      </c>
    </row>
    <row r="110" spans="1:39" s="241" customFormat="1" ht="12.75" x14ac:dyDescent="0.2">
      <c r="A110" s="232" t="s">
        <v>143</v>
      </c>
      <c r="B110" s="232" t="s">
        <v>244</v>
      </c>
      <c r="C110" s="238">
        <v>488.81000000000006</v>
      </c>
      <c r="D110" s="238">
        <v>486.43</v>
      </c>
      <c r="E110" s="238">
        <v>495.61</v>
      </c>
      <c r="F110" s="239">
        <v>35</v>
      </c>
      <c r="G110" s="233">
        <v>24684.89</v>
      </c>
      <c r="H110" s="233">
        <v>23707.279999999999</v>
      </c>
      <c r="I110" s="233">
        <v>23585.08</v>
      </c>
      <c r="J110" s="233">
        <v>23340.67</v>
      </c>
      <c r="K110" s="233">
        <v>24684.89</v>
      </c>
      <c r="L110" s="233">
        <v>25537.59</v>
      </c>
      <c r="M110" s="240">
        <v>26753.65</v>
      </c>
      <c r="N110" s="240">
        <v>26632.050000000003</v>
      </c>
      <c r="O110" s="240">
        <v>26267.22</v>
      </c>
      <c r="P110" s="240">
        <v>27258.55</v>
      </c>
      <c r="Q110" s="240">
        <v>27258.55</v>
      </c>
      <c r="R110" s="240">
        <v>26762.94</v>
      </c>
      <c r="S110" s="233">
        <f t="shared" si="56"/>
        <v>306473.36</v>
      </c>
      <c r="U110" s="240">
        <f t="shared" si="40"/>
        <v>50.499969313230082</v>
      </c>
      <c r="V110" s="240">
        <f t="shared" si="41"/>
        <v>48.499989771076692</v>
      </c>
      <c r="W110" s="240">
        <f t="shared" si="42"/>
        <v>48.249994885538349</v>
      </c>
      <c r="X110" s="240">
        <f t="shared" si="51"/>
        <v>47.983615319778792</v>
      </c>
      <c r="Y110" s="240">
        <f t="shared" si="52"/>
        <v>50.747055074728117</v>
      </c>
      <c r="Z110" s="240">
        <f t="shared" si="53"/>
        <v>52.500030836913844</v>
      </c>
      <c r="AA110" s="240">
        <f t="shared" si="54"/>
        <v>55</v>
      </c>
      <c r="AB110" s="240">
        <f t="shared" si="55"/>
        <v>54.750015418456925</v>
      </c>
      <c r="AC110" s="240">
        <f t="shared" si="50"/>
        <v>52.999778051290328</v>
      </c>
      <c r="AD110" s="240">
        <f t="shared" si="44"/>
        <v>55</v>
      </c>
      <c r="AE110" s="240">
        <f t="shared" si="45"/>
        <v>55</v>
      </c>
      <c r="AF110" s="240">
        <f t="shared" si="46"/>
        <v>53.999999999999993</v>
      </c>
      <c r="AG110" s="242">
        <f t="shared" si="57"/>
        <v>52.102537389251097</v>
      </c>
      <c r="AH110" s="242">
        <f t="shared" si="58"/>
        <v>625.23044867101316</v>
      </c>
      <c r="AI110" s="240"/>
      <c r="AL110" s="241">
        <v>1</v>
      </c>
      <c r="AM110" s="243">
        <f t="shared" si="49"/>
        <v>52.102537389251097</v>
      </c>
    </row>
    <row r="111" spans="1:39" s="241" customFormat="1" ht="12.75" x14ac:dyDescent="0.2">
      <c r="A111" s="232" t="s">
        <v>144</v>
      </c>
      <c r="B111" s="232" t="s">
        <v>245</v>
      </c>
      <c r="C111" s="238">
        <v>977.62999999999988</v>
      </c>
      <c r="D111" s="238">
        <v>972.86</v>
      </c>
      <c r="E111" s="238">
        <v>991.22</v>
      </c>
      <c r="F111" s="239">
        <v>35</v>
      </c>
      <c r="G111" s="233">
        <v>17841.739999999998</v>
      </c>
      <c r="H111" s="233">
        <v>18574.97</v>
      </c>
      <c r="I111" s="233">
        <v>18574.97</v>
      </c>
      <c r="J111" s="233">
        <v>17597.34</v>
      </c>
      <c r="K111" s="233">
        <v>18330.559999999998</v>
      </c>
      <c r="L111" s="233">
        <v>18484.34</v>
      </c>
      <c r="M111" s="240">
        <v>17268.27</v>
      </c>
      <c r="N111" s="240">
        <v>17025.060000000001</v>
      </c>
      <c r="O111" s="240">
        <v>16538.620000000003</v>
      </c>
      <c r="P111" s="240">
        <v>16850.739999999998</v>
      </c>
      <c r="Q111" s="240">
        <v>17841.96</v>
      </c>
      <c r="R111" s="240">
        <v>17841.96</v>
      </c>
      <c r="S111" s="233">
        <f t="shared" si="56"/>
        <v>212770.52999999997</v>
      </c>
      <c r="U111" s="240">
        <f t="shared" si="40"/>
        <v>18.249992328385996</v>
      </c>
      <c r="V111" s="240">
        <f t="shared" si="41"/>
        <v>19.000000000000004</v>
      </c>
      <c r="W111" s="240">
        <f t="shared" si="42"/>
        <v>19.000000000000004</v>
      </c>
      <c r="X111" s="240">
        <f t="shared" si="51"/>
        <v>18.088255247414839</v>
      </c>
      <c r="Y111" s="240">
        <f t="shared" si="52"/>
        <v>18.841929979647634</v>
      </c>
      <c r="Z111" s="240">
        <f t="shared" si="53"/>
        <v>19</v>
      </c>
      <c r="AA111" s="240">
        <f t="shared" si="54"/>
        <v>17.750005139485641</v>
      </c>
      <c r="AB111" s="240">
        <f t="shared" si="55"/>
        <v>17.500010278971281</v>
      </c>
      <c r="AC111" s="240">
        <f t="shared" si="50"/>
        <v>16.685115312443255</v>
      </c>
      <c r="AD111" s="240">
        <f t="shared" si="44"/>
        <v>16.999999999999996</v>
      </c>
      <c r="AE111" s="240">
        <f t="shared" si="45"/>
        <v>18</v>
      </c>
      <c r="AF111" s="240">
        <f t="shared" si="46"/>
        <v>18</v>
      </c>
      <c r="AG111" s="242">
        <f t="shared" si="57"/>
        <v>18.092942357195721</v>
      </c>
      <c r="AH111" s="242">
        <f t="shared" si="58"/>
        <v>217.11530828634864</v>
      </c>
      <c r="AI111" s="240"/>
      <c r="AL111" s="241">
        <v>1</v>
      </c>
      <c r="AM111" s="243">
        <f t="shared" si="49"/>
        <v>18.092942357195721</v>
      </c>
    </row>
    <row r="112" spans="1:39" s="241" customFormat="1" ht="12.75" x14ac:dyDescent="0.2">
      <c r="A112" s="232" t="s">
        <v>145</v>
      </c>
      <c r="B112" s="232" t="s">
        <v>246</v>
      </c>
      <c r="C112" s="238">
        <v>1466.44</v>
      </c>
      <c r="D112" s="238">
        <v>1459.29</v>
      </c>
      <c r="E112" s="238">
        <v>1486.84</v>
      </c>
      <c r="F112" s="239">
        <v>35</v>
      </c>
      <c r="G112" s="233">
        <v>11731.52</v>
      </c>
      <c r="H112" s="233">
        <v>11731.52</v>
      </c>
      <c r="I112" s="233">
        <v>11731.52</v>
      </c>
      <c r="J112" s="233">
        <v>11731.52</v>
      </c>
      <c r="K112" s="233">
        <v>11731.52</v>
      </c>
      <c r="L112" s="233">
        <v>11674.32</v>
      </c>
      <c r="M112" s="240">
        <v>11674.32</v>
      </c>
      <c r="N112" s="240">
        <v>11674.32</v>
      </c>
      <c r="O112" s="240">
        <v>11674.32</v>
      </c>
      <c r="P112" s="240">
        <v>11894.72</v>
      </c>
      <c r="Q112" s="240">
        <v>12142.53</v>
      </c>
      <c r="R112" s="240">
        <v>14868.400000000001</v>
      </c>
      <c r="S112" s="233">
        <f t="shared" si="56"/>
        <v>144260.53000000003</v>
      </c>
      <c r="U112" s="240">
        <f t="shared" si="40"/>
        <v>8</v>
      </c>
      <c r="V112" s="240">
        <f t="shared" si="41"/>
        <v>8</v>
      </c>
      <c r="W112" s="240">
        <f t="shared" si="42"/>
        <v>8</v>
      </c>
      <c r="X112" s="240">
        <f t="shared" si="51"/>
        <v>8.039197143816514</v>
      </c>
      <c r="Y112" s="240">
        <f t="shared" si="52"/>
        <v>8.039197143816514</v>
      </c>
      <c r="Z112" s="240">
        <f t="shared" si="53"/>
        <v>8</v>
      </c>
      <c r="AA112" s="240">
        <f t="shared" si="54"/>
        <v>8</v>
      </c>
      <c r="AB112" s="240">
        <f t="shared" si="55"/>
        <v>8</v>
      </c>
      <c r="AC112" s="240">
        <f t="shared" si="50"/>
        <v>7.8517661617927956</v>
      </c>
      <c r="AD112" s="240">
        <f t="shared" si="44"/>
        <v>8</v>
      </c>
      <c r="AE112" s="240">
        <f t="shared" si="45"/>
        <v>8.1666689085577477</v>
      </c>
      <c r="AF112" s="240">
        <f t="shared" si="46"/>
        <v>10.000000000000002</v>
      </c>
      <c r="AG112" s="242">
        <f t="shared" si="57"/>
        <v>8.1747357798319644</v>
      </c>
      <c r="AH112" s="242">
        <f t="shared" si="58"/>
        <v>98.09682935798358</v>
      </c>
      <c r="AI112" s="240"/>
      <c r="AL112" s="241">
        <v>1</v>
      </c>
      <c r="AM112" s="243">
        <f t="shared" si="49"/>
        <v>8.1747357798319644</v>
      </c>
    </row>
    <row r="113" spans="1:39" s="241" customFormat="1" ht="12.75" x14ac:dyDescent="0.2">
      <c r="A113" s="232" t="s">
        <v>146</v>
      </c>
      <c r="B113" s="232" t="s">
        <v>247</v>
      </c>
      <c r="C113" s="238">
        <v>1955.25</v>
      </c>
      <c r="D113" s="238">
        <v>1945.72</v>
      </c>
      <c r="E113" s="238">
        <v>1982.45</v>
      </c>
      <c r="F113" s="239">
        <v>35</v>
      </c>
      <c r="G113" s="233">
        <v>3910.5</v>
      </c>
      <c r="H113" s="233">
        <v>3910.5</v>
      </c>
      <c r="I113" s="233">
        <v>3910.5</v>
      </c>
      <c r="J113" s="233">
        <v>3910.5</v>
      </c>
      <c r="K113" s="233">
        <v>3910.5</v>
      </c>
      <c r="L113" s="233">
        <v>3891.44</v>
      </c>
      <c r="M113" s="240">
        <v>3891.44</v>
      </c>
      <c r="N113" s="240">
        <v>3891.44</v>
      </c>
      <c r="O113" s="240">
        <v>3891.44</v>
      </c>
      <c r="P113" s="240">
        <v>3964.9</v>
      </c>
      <c r="Q113" s="240">
        <v>3964.9</v>
      </c>
      <c r="R113" s="240">
        <v>3964.9</v>
      </c>
      <c r="S113" s="233">
        <f t="shared" si="56"/>
        <v>47012.959999999999</v>
      </c>
      <c r="U113" s="240">
        <f t="shared" si="40"/>
        <v>2</v>
      </c>
      <c r="V113" s="240">
        <f t="shared" si="41"/>
        <v>2</v>
      </c>
      <c r="W113" s="240">
        <f t="shared" si="42"/>
        <v>2</v>
      </c>
      <c r="X113" s="240">
        <f t="shared" si="51"/>
        <v>2.0097958596303682</v>
      </c>
      <c r="Y113" s="240">
        <f t="shared" si="52"/>
        <v>2.0097958596303682</v>
      </c>
      <c r="Z113" s="240">
        <f t="shared" si="53"/>
        <v>2</v>
      </c>
      <c r="AA113" s="240">
        <f t="shared" si="54"/>
        <v>2</v>
      </c>
      <c r="AB113" s="240">
        <f t="shared" si="55"/>
        <v>2</v>
      </c>
      <c r="AC113" s="240">
        <f t="shared" si="50"/>
        <v>1.962944840979596</v>
      </c>
      <c r="AD113" s="240">
        <f t="shared" si="44"/>
        <v>2</v>
      </c>
      <c r="AE113" s="240">
        <f t="shared" si="45"/>
        <v>2</v>
      </c>
      <c r="AF113" s="240">
        <f t="shared" si="46"/>
        <v>2</v>
      </c>
      <c r="AG113" s="242">
        <f t="shared" si="57"/>
        <v>1.9985447133533611</v>
      </c>
      <c r="AH113" s="242">
        <f t="shared" si="58"/>
        <v>23.982536560240334</v>
      </c>
      <c r="AI113" s="240"/>
      <c r="AL113" s="241">
        <v>1</v>
      </c>
      <c r="AM113" s="243">
        <f t="shared" si="49"/>
        <v>1.9985447133533611</v>
      </c>
    </row>
    <row r="114" spans="1:39" s="241" customFormat="1" ht="12.75" x14ac:dyDescent="0.2">
      <c r="A114" s="232" t="s">
        <v>1059</v>
      </c>
      <c r="B114" s="232" t="s">
        <v>857</v>
      </c>
      <c r="C114" s="238">
        <v>2932.88</v>
      </c>
      <c r="D114" s="238">
        <v>2918.59</v>
      </c>
      <c r="E114" s="238">
        <v>2973.67</v>
      </c>
      <c r="F114" s="239">
        <v>35</v>
      </c>
      <c r="G114" s="233">
        <v>2932.88</v>
      </c>
      <c r="H114" s="233">
        <v>2932.88</v>
      </c>
      <c r="I114" s="233">
        <v>2932.88</v>
      </c>
      <c r="J114" s="233">
        <v>2932.88</v>
      </c>
      <c r="K114" s="233">
        <v>2932.88</v>
      </c>
      <c r="L114" s="233">
        <v>2918.59</v>
      </c>
      <c r="M114" s="240">
        <v>2918.59</v>
      </c>
      <c r="N114" s="240">
        <v>2918.59</v>
      </c>
      <c r="O114" s="240">
        <v>2918.59</v>
      </c>
      <c r="P114" s="240">
        <v>2973.67</v>
      </c>
      <c r="Q114" s="240">
        <v>2973.67</v>
      </c>
      <c r="R114" s="240">
        <v>2973.67</v>
      </c>
      <c r="S114" s="233">
        <f t="shared" si="56"/>
        <v>35259.769999999997</v>
      </c>
      <c r="U114" s="240">
        <f t="shared" si="40"/>
        <v>1</v>
      </c>
      <c r="V114" s="240">
        <f t="shared" si="41"/>
        <v>1</v>
      </c>
      <c r="W114" s="240">
        <f t="shared" si="42"/>
        <v>1</v>
      </c>
      <c r="X114" s="240">
        <f t="shared" si="51"/>
        <v>1.004896199877338</v>
      </c>
      <c r="Y114" s="240">
        <f t="shared" si="52"/>
        <v>1.004896199877338</v>
      </c>
      <c r="Z114" s="240">
        <f t="shared" si="53"/>
        <v>1</v>
      </c>
      <c r="AA114" s="240">
        <f t="shared" si="54"/>
        <v>1</v>
      </c>
      <c r="AB114" s="240">
        <f t="shared" si="55"/>
        <v>1</v>
      </c>
      <c r="AC114" s="240">
        <f t="shared" si="50"/>
        <v>0.98147743360897477</v>
      </c>
      <c r="AD114" s="240">
        <f t="shared" si="44"/>
        <v>1</v>
      </c>
      <c r="AE114" s="240">
        <f t="shared" si="45"/>
        <v>1</v>
      </c>
      <c r="AF114" s="240">
        <f t="shared" si="46"/>
        <v>1</v>
      </c>
      <c r="AG114" s="242">
        <f t="shared" si="57"/>
        <v>0.99927248611363761</v>
      </c>
      <c r="AH114" s="242">
        <f t="shared" si="58"/>
        <v>11.991269833363651</v>
      </c>
      <c r="AI114" s="240"/>
      <c r="AL114" s="241">
        <v>1</v>
      </c>
      <c r="AM114" s="243">
        <f t="shared" si="49"/>
        <v>0.99927248611363761</v>
      </c>
    </row>
    <row r="115" spans="1:39" s="241" customFormat="1" ht="12.75" x14ac:dyDescent="0.2">
      <c r="A115" s="232" t="s">
        <v>147</v>
      </c>
      <c r="B115" s="232" t="s">
        <v>249</v>
      </c>
      <c r="C115" s="238">
        <v>244.96999999999997</v>
      </c>
      <c r="D115" s="238">
        <v>243.77000000000004</v>
      </c>
      <c r="E115" s="238">
        <v>248.38000000000002</v>
      </c>
      <c r="F115" s="239">
        <v>35</v>
      </c>
      <c r="G115" s="233">
        <v>489.94</v>
      </c>
      <c r="H115" s="233">
        <v>489.94</v>
      </c>
      <c r="I115" s="233">
        <v>489.94</v>
      </c>
      <c r="J115" s="233">
        <v>367.45</v>
      </c>
      <c r="K115" s="233">
        <v>367.45</v>
      </c>
      <c r="L115" s="233">
        <v>243.77</v>
      </c>
      <c r="M115" s="240">
        <v>243.77</v>
      </c>
      <c r="N115" s="240">
        <v>243.77</v>
      </c>
      <c r="O115" s="240">
        <v>487.54</v>
      </c>
      <c r="P115" s="240">
        <v>248.38</v>
      </c>
      <c r="Q115" s="240">
        <v>248.38</v>
      </c>
      <c r="R115" s="240">
        <v>496.76</v>
      </c>
      <c r="S115" s="233">
        <f t="shared" si="56"/>
        <v>4417.09</v>
      </c>
      <c r="U115" s="240">
        <f t="shared" si="40"/>
        <v>2.0000000000000004</v>
      </c>
      <c r="V115" s="240">
        <f t="shared" si="41"/>
        <v>2.0000000000000004</v>
      </c>
      <c r="W115" s="240">
        <f t="shared" si="42"/>
        <v>2.0000000000000004</v>
      </c>
      <c r="X115" s="240">
        <f t="shared" si="51"/>
        <v>1.5073634983796198</v>
      </c>
      <c r="Y115" s="240">
        <f t="shared" si="52"/>
        <v>1.5073634983796198</v>
      </c>
      <c r="Z115" s="240">
        <f t="shared" si="53"/>
        <v>0.99999999999999989</v>
      </c>
      <c r="AA115" s="240">
        <f t="shared" si="54"/>
        <v>0.99999999999999989</v>
      </c>
      <c r="AB115" s="240">
        <f t="shared" si="55"/>
        <v>0.99999999999999989</v>
      </c>
      <c r="AC115" s="240">
        <f t="shared" si="50"/>
        <v>1.9628794588936307</v>
      </c>
      <c r="AD115" s="240">
        <f t="shared" si="44"/>
        <v>0.99999999999999989</v>
      </c>
      <c r="AE115" s="240">
        <f t="shared" si="45"/>
        <v>0.99999999999999989</v>
      </c>
      <c r="AF115" s="240">
        <f t="shared" si="46"/>
        <v>1.9999999999999998</v>
      </c>
      <c r="AG115" s="242">
        <f t="shared" si="57"/>
        <v>1.4981338713044059</v>
      </c>
      <c r="AH115" s="242">
        <f t="shared" si="58"/>
        <v>17.977606455652872</v>
      </c>
      <c r="AI115" s="240"/>
      <c r="AL115" s="241">
        <v>1</v>
      </c>
      <c r="AM115" s="243">
        <f t="shared" si="49"/>
        <v>1.4981338713044059</v>
      </c>
    </row>
    <row r="116" spans="1:39" s="241" customFormat="1" ht="12.75" x14ac:dyDescent="0.2">
      <c r="A116" s="232" t="s">
        <v>148</v>
      </c>
      <c r="B116" s="232" t="s">
        <v>250</v>
      </c>
      <c r="C116" s="238">
        <v>319.77</v>
      </c>
      <c r="D116" s="238">
        <v>318.26</v>
      </c>
      <c r="E116" s="238">
        <v>330.42</v>
      </c>
      <c r="F116" s="239">
        <v>38</v>
      </c>
      <c r="G116" s="233">
        <v>959.31</v>
      </c>
      <c r="H116" s="233">
        <v>959.31</v>
      </c>
      <c r="I116" s="233">
        <v>959.31</v>
      </c>
      <c r="J116" s="233">
        <v>959.31</v>
      </c>
      <c r="K116" s="233">
        <v>959.31</v>
      </c>
      <c r="L116" s="233">
        <v>954.78</v>
      </c>
      <c r="M116" s="240">
        <v>954.78</v>
      </c>
      <c r="N116" s="240">
        <v>954.78</v>
      </c>
      <c r="O116" s="240">
        <v>954.78</v>
      </c>
      <c r="P116" s="240">
        <v>991.26</v>
      </c>
      <c r="Q116" s="240">
        <v>991.26</v>
      </c>
      <c r="R116" s="240">
        <v>991.26</v>
      </c>
      <c r="S116" s="233">
        <f t="shared" si="56"/>
        <v>11589.449999999999</v>
      </c>
      <c r="U116" s="240">
        <f t="shared" si="40"/>
        <v>3</v>
      </c>
      <c r="V116" s="240">
        <f t="shared" si="41"/>
        <v>3</v>
      </c>
      <c r="W116" s="240">
        <f t="shared" si="42"/>
        <v>3</v>
      </c>
      <c r="X116" s="240">
        <f t="shared" si="51"/>
        <v>3.0142336454471188</v>
      </c>
      <c r="Y116" s="240">
        <f t="shared" si="52"/>
        <v>3.0142336454471188</v>
      </c>
      <c r="Z116" s="240">
        <f t="shared" si="53"/>
        <v>3</v>
      </c>
      <c r="AA116" s="240">
        <f t="shared" si="54"/>
        <v>3</v>
      </c>
      <c r="AB116" s="240">
        <f t="shared" si="55"/>
        <v>3</v>
      </c>
      <c r="AC116" s="240">
        <f t="shared" si="50"/>
        <v>2.8895950608316685</v>
      </c>
      <c r="AD116" s="240">
        <f t="shared" si="44"/>
        <v>3</v>
      </c>
      <c r="AE116" s="240">
        <f t="shared" si="45"/>
        <v>3</v>
      </c>
      <c r="AF116" s="240">
        <f t="shared" si="46"/>
        <v>3</v>
      </c>
      <c r="AG116" s="242">
        <f t="shared" si="57"/>
        <v>2.9931718626438255</v>
      </c>
      <c r="AH116" s="242">
        <f t="shared" si="58"/>
        <v>35.918062351725908</v>
      </c>
      <c r="AI116" s="240"/>
      <c r="AL116" s="241">
        <v>1</v>
      </c>
      <c r="AM116" s="243">
        <f t="shared" si="49"/>
        <v>2.9931718626438255</v>
      </c>
    </row>
    <row r="117" spans="1:39" s="241" customFormat="1" ht="12.75" x14ac:dyDescent="0.2">
      <c r="A117" s="232" t="s">
        <v>149</v>
      </c>
      <c r="B117" s="232" t="s">
        <v>252</v>
      </c>
      <c r="C117" s="238">
        <v>566.79999999999995</v>
      </c>
      <c r="D117" s="238">
        <v>564.16</v>
      </c>
      <c r="E117" s="238">
        <v>587.23</v>
      </c>
      <c r="F117" s="239">
        <v>38</v>
      </c>
      <c r="G117" s="233">
        <v>2834</v>
      </c>
      <c r="H117" s="233">
        <v>2834</v>
      </c>
      <c r="I117" s="233">
        <v>2834</v>
      </c>
      <c r="J117" s="233">
        <v>2834</v>
      </c>
      <c r="K117" s="233">
        <v>3400.8</v>
      </c>
      <c r="L117" s="233">
        <v>3384.96</v>
      </c>
      <c r="M117" s="240">
        <v>3384.96</v>
      </c>
      <c r="N117" s="240">
        <v>3384.96</v>
      </c>
      <c r="O117" s="240">
        <v>3384.96</v>
      </c>
      <c r="P117" s="240">
        <v>3523.38</v>
      </c>
      <c r="Q117" s="240">
        <v>3523.38</v>
      </c>
      <c r="R117" s="240">
        <v>3523.38</v>
      </c>
      <c r="S117" s="233">
        <f t="shared" si="56"/>
        <v>38846.779999999992</v>
      </c>
      <c r="U117" s="240">
        <f t="shared" si="40"/>
        <v>5</v>
      </c>
      <c r="V117" s="240">
        <f t="shared" si="41"/>
        <v>5</v>
      </c>
      <c r="W117" s="240">
        <f t="shared" si="42"/>
        <v>5</v>
      </c>
      <c r="X117" s="240">
        <f t="shared" si="51"/>
        <v>5.0233976176971078</v>
      </c>
      <c r="Y117" s="240">
        <f t="shared" si="52"/>
        <v>6.0280771412365297</v>
      </c>
      <c r="Z117" s="240">
        <f t="shared" si="53"/>
        <v>6</v>
      </c>
      <c r="AA117" s="240">
        <f t="shared" si="54"/>
        <v>6</v>
      </c>
      <c r="AB117" s="240">
        <f t="shared" si="55"/>
        <v>6</v>
      </c>
      <c r="AC117" s="240">
        <f t="shared" si="50"/>
        <v>5.7642831599203035</v>
      </c>
      <c r="AD117" s="240">
        <f t="shared" si="44"/>
        <v>6</v>
      </c>
      <c r="AE117" s="240">
        <f t="shared" si="45"/>
        <v>6</v>
      </c>
      <c r="AF117" s="240">
        <f t="shared" si="46"/>
        <v>6</v>
      </c>
      <c r="AG117" s="242">
        <f t="shared" si="57"/>
        <v>5.6513131599044941</v>
      </c>
      <c r="AH117" s="242">
        <f t="shared" si="58"/>
        <v>67.815757918853933</v>
      </c>
      <c r="AI117" s="240"/>
      <c r="AL117" s="241">
        <v>1</v>
      </c>
      <c r="AM117" s="243">
        <f t="shared" si="49"/>
        <v>5.6513131599044941</v>
      </c>
    </row>
    <row r="118" spans="1:39" s="241" customFormat="1" ht="12.75" x14ac:dyDescent="0.2">
      <c r="A118" s="232" t="s">
        <v>697</v>
      </c>
      <c r="B118" s="232" t="s">
        <v>708</v>
      </c>
      <c r="C118" s="238">
        <v>14.59</v>
      </c>
      <c r="D118" s="238">
        <v>14.51</v>
      </c>
      <c r="E118" s="238">
        <v>14.79</v>
      </c>
      <c r="F118" s="239">
        <v>37</v>
      </c>
      <c r="G118" s="233">
        <v>1210.97</v>
      </c>
      <c r="H118" s="233">
        <v>1210.97</v>
      </c>
      <c r="I118" s="233">
        <v>1210.97</v>
      </c>
      <c r="J118" s="233">
        <v>1210.97</v>
      </c>
      <c r="K118" s="233">
        <v>1210.97</v>
      </c>
      <c r="L118" s="233">
        <v>1210.97</v>
      </c>
      <c r="M118" s="240">
        <v>0</v>
      </c>
      <c r="N118" s="240">
        <v>0</v>
      </c>
      <c r="O118" s="240">
        <v>0</v>
      </c>
      <c r="P118" s="240">
        <v>0</v>
      </c>
      <c r="Q118" s="240">
        <v>0</v>
      </c>
      <c r="R118" s="240">
        <v>0</v>
      </c>
      <c r="S118" s="233">
        <f t="shared" si="56"/>
        <v>7265.8200000000006</v>
      </c>
      <c r="U118" s="240">
        <f t="shared" si="40"/>
        <v>83</v>
      </c>
      <c r="V118" s="240">
        <f t="shared" si="41"/>
        <v>83</v>
      </c>
      <c r="W118" s="240">
        <f t="shared" si="42"/>
        <v>83</v>
      </c>
      <c r="X118" s="240">
        <f t="shared" si="51"/>
        <v>83.457615437629229</v>
      </c>
      <c r="Y118" s="240">
        <f t="shared" si="52"/>
        <v>83.457615437629229</v>
      </c>
      <c r="Z118" s="240">
        <f t="shared" si="53"/>
        <v>83.457615437629229</v>
      </c>
      <c r="AA118" s="240">
        <f t="shared" si="54"/>
        <v>0</v>
      </c>
      <c r="AB118" s="240">
        <f t="shared" si="55"/>
        <v>0</v>
      </c>
      <c r="AC118" s="240">
        <f t="shared" si="50"/>
        <v>0</v>
      </c>
      <c r="AD118" s="240">
        <f t="shared" si="44"/>
        <v>0</v>
      </c>
      <c r="AE118" s="240">
        <f t="shared" si="45"/>
        <v>0</v>
      </c>
      <c r="AF118" s="240">
        <f t="shared" si="46"/>
        <v>0</v>
      </c>
      <c r="AG118" s="242">
        <f t="shared" si="57"/>
        <v>41.614403859407304</v>
      </c>
      <c r="AH118" s="242">
        <f t="shared" si="58"/>
        <v>499.37284631288765</v>
      </c>
      <c r="AI118" s="240"/>
    </row>
    <row r="119" spans="1:39" s="241" customFormat="1" ht="12.75" x14ac:dyDescent="0.2">
      <c r="A119" s="232" t="s">
        <v>165</v>
      </c>
      <c r="B119" s="232" t="s">
        <v>268</v>
      </c>
      <c r="C119" s="238">
        <v>14.59</v>
      </c>
      <c r="D119" s="238">
        <v>14.51</v>
      </c>
      <c r="E119" s="238">
        <v>14.79</v>
      </c>
      <c r="F119" s="239">
        <v>37</v>
      </c>
      <c r="G119" s="233">
        <v>11438.56</v>
      </c>
      <c r="H119" s="233">
        <v>11343.71</v>
      </c>
      <c r="I119" s="233">
        <v>11328.759999999998</v>
      </c>
      <c r="J119" s="233">
        <v>11347.36</v>
      </c>
      <c r="K119" s="233">
        <v>11420.300000000001</v>
      </c>
      <c r="L119" s="233">
        <v>11183.53</v>
      </c>
      <c r="M119" s="240">
        <v>14.51</v>
      </c>
      <c r="N119" s="240">
        <v>0</v>
      </c>
      <c r="O119" s="240">
        <v>0</v>
      </c>
      <c r="P119" s="240">
        <v>0</v>
      </c>
      <c r="Q119" s="240">
        <v>0</v>
      </c>
      <c r="R119" s="240">
        <v>0</v>
      </c>
      <c r="S119" s="233">
        <f t="shared" si="56"/>
        <v>68076.73</v>
      </c>
      <c r="U119" s="240">
        <f t="shared" si="40"/>
        <v>784</v>
      </c>
      <c r="V119" s="240">
        <f t="shared" si="41"/>
        <v>777.49897189856063</v>
      </c>
      <c r="W119" s="240">
        <f t="shared" si="42"/>
        <v>776.47429746401633</v>
      </c>
      <c r="X119" s="240">
        <f t="shared" si="51"/>
        <v>782.03721571330118</v>
      </c>
      <c r="Y119" s="240">
        <f t="shared" si="52"/>
        <v>787.06409372846326</v>
      </c>
      <c r="Z119" s="240">
        <f t="shared" si="53"/>
        <v>770.74638180565137</v>
      </c>
      <c r="AA119" s="240">
        <f t="shared" si="54"/>
        <v>1</v>
      </c>
      <c r="AB119" s="240">
        <f t="shared" si="55"/>
        <v>0</v>
      </c>
      <c r="AC119" s="240">
        <f t="shared" si="50"/>
        <v>0</v>
      </c>
      <c r="AD119" s="240">
        <f t="shared" si="44"/>
        <v>0</v>
      </c>
      <c r="AE119" s="240">
        <f t="shared" si="45"/>
        <v>0</v>
      </c>
      <c r="AF119" s="240">
        <f t="shared" si="46"/>
        <v>0</v>
      </c>
      <c r="AG119" s="242">
        <f t="shared" si="57"/>
        <v>389.90174671749941</v>
      </c>
      <c r="AH119" s="242">
        <f t="shared" si="58"/>
        <v>4678.8209606099927</v>
      </c>
      <c r="AI119" s="240"/>
    </row>
    <row r="120" spans="1:39" s="241" customFormat="1" ht="12.75" x14ac:dyDescent="0.2">
      <c r="A120" s="232" t="s">
        <v>166</v>
      </c>
      <c r="B120" s="232" t="s">
        <v>84</v>
      </c>
      <c r="C120" s="238">
        <v>36.94</v>
      </c>
      <c r="D120" s="238">
        <v>35.208000000000006</v>
      </c>
      <c r="E120" s="238">
        <v>29.58</v>
      </c>
      <c r="F120" s="239">
        <v>37</v>
      </c>
      <c r="G120" s="233">
        <v>1378.7550000000001</v>
      </c>
      <c r="H120" s="233">
        <v>1444.405</v>
      </c>
      <c r="I120" s="233">
        <v>1459</v>
      </c>
      <c r="J120" s="233">
        <v>1459</v>
      </c>
      <c r="K120" s="233">
        <v>1393.34</v>
      </c>
      <c r="L120" s="233">
        <v>1465.52</v>
      </c>
      <c r="M120" s="233">
        <v>7.26</v>
      </c>
      <c r="N120" s="233">
        <v>0</v>
      </c>
      <c r="O120" s="233">
        <v>0</v>
      </c>
      <c r="P120" s="233">
        <v>0</v>
      </c>
      <c r="Q120" s="233">
        <v>0</v>
      </c>
      <c r="R120" s="233">
        <v>0</v>
      </c>
      <c r="S120" s="233">
        <f t="shared" si="56"/>
        <v>8607.2800000000007</v>
      </c>
      <c r="U120" s="240">
        <f t="shared" si="40"/>
        <v>37.324174336762326</v>
      </c>
      <c r="V120" s="240">
        <f t="shared" si="41"/>
        <v>39.10138061721711</v>
      </c>
      <c r="W120" s="240">
        <f t="shared" si="42"/>
        <v>39.496480779642667</v>
      </c>
      <c r="X120" s="240">
        <f t="shared" si="51"/>
        <v>41.439445580549865</v>
      </c>
      <c r="Y120" s="240">
        <f t="shared" si="52"/>
        <v>39.574528516246296</v>
      </c>
      <c r="Z120" s="240">
        <f t="shared" si="53"/>
        <v>41.624630765735056</v>
      </c>
      <c r="AA120" s="240">
        <f t="shared" si="54"/>
        <v>0.20620313565098838</v>
      </c>
      <c r="AB120" s="240">
        <f t="shared" si="55"/>
        <v>0</v>
      </c>
      <c r="AC120" s="240">
        <f t="shared" si="50"/>
        <v>0</v>
      </c>
      <c r="AD120" s="240">
        <f t="shared" si="44"/>
        <v>0</v>
      </c>
      <c r="AE120" s="240">
        <f t="shared" si="45"/>
        <v>0</v>
      </c>
      <c r="AF120" s="240">
        <f t="shared" si="46"/>
        <v>0</v>
      </c>
      <c r="AG120" s="242">
        <f t="shared" si="57"/>
        <v>19.897236977650355</v>
      </c>
      <c r="AH120" s="242">
        <f t="shared" si="58"/>
        <v>238.76684373180427</v>
      </c>
      <c r="AI120" s="240"/>
      <c r="AJ120" s="241">
        <v>1</v>
      </c>
      <c r="AK120" s="243">
        <f t="shared" ref="AK120:AK125" si="59">+AJ120*AE120</f>
        <v>0</v>
      </c>
    </row>
    <row r="121" spans="1:39" s="241" customFormat="1" ht="12.75" x14ac:dyDescent="0.2">
      <c r="A121" s="232" t="s">
        <v>167</v>
      </c>
      <c r="B121" s="232" t="s">
        <v>85</v>
      </c>
      <c r="C121" s="238">
        <v>45.38</v>
      </c>
      <c r="D121" s="238">
        <v>44.81</v>
      </c>
      <c r="E121" s="238">
        <v>44.37</v>
      </c>
      <c r="F121" s="239">
        <v>37</v>
      </c>
      <c r="G121" s="233">
        <v>393.93</v>
      </c>
      <c r="H121" s="233">
        <v>393.93</v>
      </c>
      <c r="I121" s="233">
        <v>350.16</v>
      </c>
      <c r="J121" s="233">
        <v>350.16</v>
      </c>
      <c r="K121" s="233">
        <v>350.16</v>
      </c>
      <c r="L121" s="233">
        <v>609.44000000000005</v>
      </c>
      <c r="M121" s="233">
        <v>0</v>
      </c>
      <c r="N121" s="233">
        <v>0</v>
      </c>
      <c r="O121" s="233">
        <v>0</v>
      </c>
      <c r="P121" s="233">
        <v>0</v>
      </c>
      <c r="Q121" s="233">
        <v>0</v>
      </c>
      <c r="R121" s="233">
        <v>0</v>
      </c>
      <c r="S121" s="233">
        <f t="shared" si="56"/>
        <v>2447.7800000000002</v>
      </c>
      <c r="U121" s="240">
        <f t="shared" si="40"/>
        <v>8.6806963420008803</v>
      </c>
      <c r="V121" s="240">
        <f t="shared" si="41"/>
        <v>8.6806963420008803</v>
      </c>
      <c r="W121" s="240">
        <f t="shared" si="42"/>
        <v>7.7161745262230061</v>
      </c>
      <c r="X121" s="240">
        <f t="shared" si="51"/>
        <v>7.8143271591162691</v>
      </c>
      <c r="Y121" s="240">
        <f t="shared" si="52"/>
        <v>7.8143271591162691</v>
      </c>
      <c r="Z121" s="240">
        <f t="shared" si="53"/>
        <v>13.600535594733319</v>
      </c>
      <c r="AA121" s="240">
        <f t="shared" si="54"/>
        <v>0</v>
      </c>
      <c r="AB121" s="240">
        <f t="shared" si="55"/>
        <v>0</v>
      </c>
      <c r="AC121" s="240">
        <f t="shared" si="50"/>
        <v>0</v>
      </c>
      <c r="AD121" s="240">
        <f t="shared" si="44"/>
        <v>0</v>
      </c>
      <c r="AE121" s="240">
        <f t="shared" si="45"/>
        <v>0</v>
      </c>
      <c r="AF121" s="240">
        <f t="shared" si="46"/>
        <v>0</v>
      </c>
      <c r="AG121" s="242">
        <f t="shared" si="57"/>
        <v>4.5255630935992182</v>
      </c>
      <c r="AH121" s="242">
        <f t="shared" si="58"/>
        <v>54.306757123190621</v>
      </c>
      <c r="AI121" s="240"/>
      <c r="AJ121" s="241">
        <v>1</v>
      </c>
      <c r="AK121" s="243">
        <f t="shared" si="59"/>
        <v>0</v>
      </c>
    </row>
    <row r="122" spans="1:39" s="241" customFormat="1" ht="12.75" x14ac:dyDescent="0.2">
      <c r="A122" s="232" t="s">
        <v>168</v>
      </c>
      <c r="B122" s="232" t="s">
        <v>86</v>
      </c>
      <c r="C122" s="238">
        <v>73.88</v>
      </c>
      <c r="D122" s="238">
        <v>70.424000000000007</v>
      </c>
      <c r="E122" s="238">
        <v>59.16</v>
      </c>
      <c r="F122" s="239">
        <v>37</v>
      </c>
      <c r="G122" s="233">
        <v>291.8</v>
      </c>
      <c r="H122" s="233">
        <v>291.8</v>
      </c>
      <c r="I122" s="233">
        <v>350.16</v>
      </c>
      <c r="J122" s="233">
        <v>350.16</v>
      </c>
      <c r="K122" s="233">
        <v>350.16</v>
      </c>
      <c r="L122" s="233">
        <v>348.24</v>
      </c>
      <c r="M122" s="233">
        <v>0</v>
      </c>
      <c r="N122" s="233">
        <v>0</v>
      </c>
      <c r="O122" s="233">
        <v>0</v>
      </c>
      <c r="P122" s="233">
        <v>0</v>
      </c>
      <c r="Q122" s="233">
        <v>0</v>
      </c>
      <c r="R122" s="233">
        <v>0</v>
      </c>
      <c r="S122" s="233">
        <f t="shared" si="56"/>
        <v>1982.3200000000002</v>
      </c>
      <c r="U122" s="240">
        <f t="shared" si="40"/>
        <v>3.9496480779642669</v>
      </c>
      <c r="V122" s="240">
        <f t="shared" si="41"/>
        <v>3.9496480779642669</v>
      </c>
      <c r="W122" s="240">
        <f t="shared" si="42"/>
        <v>4.7395776935571199</v>
      </c>
      <c r="X122" s="240">
        <f t="shared" si="51"/>
        <v>4.9721685788935588</v>
      </c>
      <c r="Y122" s="240">
        <f t="shared" si="52"/>
        <v>4.9721685788935588</v>
      </c>
      <c r="Z122" s="240">
        <f t="shared" si="53"/>
        <v>4.9449051459729638</v>
      </c>
      <c r="AA122" s="240">
        <f t="shared" si="54"/>
        <v>0</v>
      </c>
      <c r="AB122" s="240">
        <f t="shared" si="55"/>
        <v>0</v>
      </c>
      <c r="AC122" s="240">
        <f t="shared" si="50"/>
        <v>0</v>
      </c>
      <c r="AD122" s="240">
        <f t="shared" si="44"/>
        <v>0</v>
      </c>
      <c r="AE122" s="240">
        <f t="shared" si="45"/>
        <v>0</v>
      </c>
      <c r="AF122" s="240">
        <f t="shared" si="46"/>
        <v>0</v>
      </c>
      <c r="AG122" s="242">
        <f t="shared" si="57"/>
        <v>2.2940096794371447</v>
      </c>
      <c r="AH122" s="242">
        <f t="shared" si="58"/>
        <v>27.528116153245737</v>
      </c>
      <c r="AI122" s="240"/>
      <c r="AJ122" s="241">
        <v>2</v>
      </c>
      <c r="AK122" s="243">
        <f t="shared" si="59"/>
        <v>0</v>
      </c>
    </row>
    <row r="123" spans="1:39" s="241" customFormat="1" ht="12.75" x14ac:dyDescent="0.2">
      <c r="A123" s="232" t="s">
        <v>169</v>
      </c>
      <c r="B123" s="232" t="s">
        <v>87</v>
      </c>
      <c r="C123" s="238">
        <v>98.48</v>
      </c>
      <c r="D123" s="238">
        <v>92.789999999999992</v>
      </c>
      <c r="E123" s="238">
        <v>73.95</v>
      </c>
      <c r="F123" s="239">
        <v>37</v>
      </c>
      <c r="G123" s="233">
        <v>72.95</v>
      </c>
      <c r="H123" s="233">
        <v>72.95</v>
      </c>
      <c r="I123" s="233">
        <v>72.95</v>
      </c>
      <c r="J123" s="233">
        <v>72.95</v>
      </c>
      <c r="K123" s="233">
        <v>72.95</v>
      </c>
      <c r="L123" s="233">
        <v>36.28</v>
      </c>
      <c r="M123" s="233">
        <v>0</v>
      </c>
      <c r="N123" s="233">
        <v>0</v>
      </c>
      <c r="O123" s="233">
        <v>0</v>
      </c>
      <c r="P123" s="233">
        <v>0</v>
      </c>
      <c r="Q123" s="233">
        <v>0</v>
      </c>
      <c r="R123" s="233">
        <v>0</v>
      </c>
      <c r="S123" s="233">
        <f t="shared" si="56"/>
        <v>401.03</v>
      </c>
      <c r="U123" s="240">
        <f t="shared" si="40"/>
        <v>0.74075954508529651</v>
      </c>
      <c r="V123" s="240">
        <f t="shared" si="41"/>
        <v>0.74075954508529651</v>
      </c>
      <c r="W123" s="240">
        <f t="shared" si="42"/>
        <v>0.74075954508529651</v>
      </c>
      <c r="X123" s="240">
        <f t="shared" si="51"/>
        <v>0.78618385601896768</v>
      </c>
      <c r="Y123" s="240">
        <f t="shared" si="52"/>
        <v>0.78618385601896768</v>
      </c>
      <c r="Z123" s="240">
        <f t="shared" si="53"/>
        <v>0.39099040844918637</v>
      </c>
      <c r="AA123" s="240">
        <f t="shared" si="54"/>
        <v>0</v>
      </c>
      <c r="AB123" s="240">
        <f t="shared" si="55"/>
        <v>0</v>
      </c>
      <c r="AC123" s="240">
        <f t="shared" si="50"/>
        <v>0</v>
      </c>
      <c r="AD123" s="240">
        <f t="shared" si="44"/>
        <v>0</v>
      </c>
      <c r="AE123" s="240">
        <f t="shared" si="45"/>
        <v>0</v>
      </c>
      <c r="AF123" s="240">
        <f t="shared" si="46"/>
        <v>0</v>
      </c>
      <c r="AG123" s="242">
        <f t="shared" si="57"/>
        <v>0.34880306297858427</v>
      </c>
      <c r="AH123" s="242">
        <f t="shared" si="58"/>
        <v>4.185636755743011</v>
      </c>
      <c r="AI123" s="240"/>
      <c r="AJ123" s="241">
        <v>3</v>
      </c>
      <c r="AK123" s="243">
        <f t="shared" si="59"/>
        <v>0</v>
      </c>
    </row>
    <row r="124" spans="1:39" s="241" customFormat="1" ht="12.75" x14ac:dyDescent="0.2">
      <c r="A124" s="232" t="s">
        <v>170</v>
      </c>
      <c r="B124" s="232" t="s">
        <v>88</v>
      </c>
      <c r="C124" s="238">
        <v>90.76</v>
      </c>
      <c r="D124" s="238">
        <v>89.596000000000004</v>
      </c>
      <c r="E124" s="238">
        <v>88.74</v>
      </c>
      <c r="F124" s="239">
        <v>37</v>
      </c>
      <c r="G124" s="233">
        <v>262.62</v>
      </c>
      <c r="H124" s="233">
        <v>262.62</v>
      </c>
      <c r="I124" s="233">
        <v>262.62</v>
      </c>
      <c r="J124" s="233">
        <v>262.62</v>
      </c>
      <c r="K124" s="233">
        <v>284.5</v>
      </c>
      <c r="L124" s="233">
        <v>348.24</v>
      </c>
      <c r="M124" s="233">
        <v>0</v>
      </c>
      <c r="N124" s="233">
        <v>0</v>
      </c>
      <c r="O124" s="233">
        <v>0</v>
      </c>
      <c r="P124" s="233">
        <v>0</v>
      </c>
      <c r="Q124" s="233">
        <v>0</v>
      </c>
      <c r="R124" s="233">
        <v>0</v>
      </c>
      <c r="S124" s="233">
        <f t="shared" si="56"/>
        <v>1683.22</v>
      </c>
      <c r="U124" s="240">
        <f t="shared" si="40"/>
        <v>2.8935654473336272</v>
      </c>
      <c r="V124" s="240">
        <f t="shared" si="41"/>
        <v>2.8935654473336272</v>
      </c>
      <c r="W124" s="240">
        <f t="shared" si="42"/>
        <v>2.8935654473336272</v>
      </c>
      <c r="X124" s="240">
        <f t="shared" si="51"/>
        <v>2.9311576409661146</v>
      </c>
      <c r="Y124" s="240">
        <f t="shared" si="52"/>
        <v>3.1753649716505201</v>
      </c>
      <c r="Z124" s="240">
        <f t="shared" si="53"/>
        <v>3.8867806598508863</v>
      </c>
      <c r="AA124" s="240">
        <f t="shared" si="54"/>
        <v>0</v>
      </c>
      <c r="AB124" s="240">
        <f t="shared" si="55"/>
        <v>0</v>
      </c>
      <c r="AC124" s="240">
        <f t="shared" si="50"/>
        <v>0</v>
      </c>
      <c r="AD124" s="240">
        <f t="shared" si="44"/>
        <v>0</v>
      </c>
      <c r="AE124" s="240">
        <f t="shared" si="45"/>
        <v>0</v>
      </c>
      <c r="AF124" s="240">
        <f t="shared" si="46"/>
        <v>0</v>
      </c>
      <c r="AG124" s="242">
        <f t="shared" si="57"/>
        <v>1.5561666345390337</v>
      </c>
      <c r="AH124" s="242">
        <f t="shared" si="58"/>
        <v>18.673999614468404</v>
      </c>
      <c r="AI124" s="240"/>
      <c r="AJ124" s="241">
        <v>2</v>
      </c>
      <c r="AK124" s="243">
        <f t="shared" si="59"/>
        <v>0</v>
      </c>
    </row>
    <row r="125" spans="1:39" s="241" customFormat="1" ht="12.75" x14ac:dyDescent="0.2">
      <c r="A125" s="232" t="s">
        <v>173</v>
      </c>
      <c r="B125" s="232" t="s">
        <v>269</v>
      </c>
      <c r="C125" s="238">
        <v>136.13999999999999</v>
      </c>
      <c r="D125" s="238">
        <v>134.398</v>
      </c>
      <c r="E125" s="238">
        <v>133.11000000000001</v>
      </c>
      <c r="F125" s="239">
        <v>37</v>
      </c>
      <c r="G125" s="233">
        <v>131.31</v>
      </c>
      <c r="H125" s="233">
        <v>131.31</v>
      </c>
      <c r="I125" s="233">
        <v>131.31</v>
      </c>
      <c r="J125" s="233">
        <v>131.31</v>
      </c>
      <c r="K125" s="233">
        <v>0</v>
      </c>
      <c r="L125" s="233">
        <v>0</v>
      </c>
      <c r="M125" s="233">
        <v>0</v>
      </c>
      <c r="N125" s="233">
        <v>0</v>
      </c>
      <c r="O125" s="233">
        <v>0</v>
      </c>
      <c r="P125" s="233">
        <v>0</v>
      </c>
      <c r="Q125" s="233">
        <v>0</v>
      </c>
      <c r="R125" s="233">
        <v>0</v>
      </c>
      <c r="S125" s="233">
        <f t="shared" si="56"/>
        <v>525.24</v>
      </c>
      <c r="U125" s="240">
        <f t="shared" si="40"/>
        <v>0.96452181577787588</v>
      </c>
      <c r="V125" s="240">
        <f t="shared" si="41"/>
        <v>0.96452181577787588</v>
      </c>
      <c r="W125" s="240">
        <f t="shared" si="42"/>
        <v>0.96452181577787588</v>
      </c>
      <c r="X125" s="240">
        <f t="shared" si="51"/>
        <v>0.97702346761112524</v>
      </c>
      <c r="Y125" s="240">
        <f t="shared" si="52"/>
        <v>0</v>
      </c>
      <c r="Z125" s="240">
        <f t="shared" si="53"/>
        <v>0</v>
      </c>
      <c r="AA125" s="240">
        <f t="shared" si="54"/>
        <v>0</v>
      </c>
      <c r="AB125" s="240">
        <f t="shared" si="55"/>
        <v>0</v>
      </c>
      <c r="AC125" s="240">
        <f t="shared" si="50"/>
        <v>0</v>
      </c>
      <c r="AD125" s="240">
        <f t="shared" si="44"/>
        <v>0</v>
      </c>
      <c r="AE125" s="240">
        <f t="shared" si="45"/>
        <v>0</v>
      </c>
      <c r="AF125" s="240">
        <f t="shared" si="46"/>
        <v>0</v>
      </c>
      <c r="AG125" s="242">
        <f t="shared" si="57"/>
        <v>0.32254907624539608</v>
      </c>
      <c r="AH125" s="242">
        <f t="shared" si="58"/>
        <v>3.870588914944753</v>
      </c>
      <c r="AI125" s="240"/>
      <c r="AJ125" s="241">
        <v>3</v>
      </c>
      <c r="AK125" s="243">
        <f t="shared" si="59"/>
        <v>0</v>
      </c>
    </row>
    <row r="126" spans="1:39" s="241" customFormat="1" ht="12.75" x14ac:dyDescent="0.2">
      <c r="A126" s="232" t="s">
        <v>166</v>
      </c>
      <c r="B126" s="232" t="s">
        <v>84</v>
      </c>
      <c r="C126" s="238">
        <v>29.18</v>
      </c>
      <c r="D126" s="238">
        <v>29.02</v>
      </c>
      <c r="E126" s="238">
        <v>29.58</v>
      </c>
      <c r="F126" s="239">
        <v>37</v>
      </c>
      <c r="G126" s="233">
        <v>0</v>
      </c>
      <c r="H126" s="233">
        <v>0</v>
      </c>
      <c r="I126" s="233">
        <v>0</v>
      </c>
      <c r="J126" s="233">
        <v>0</v>
      </c>
      <c r="K126" s="233">
        <v>0</v>
      </c>
      <c r="L126" s="233">
        <v>0</v>
      </c>
      <c r="M126" s="233">
        <v>0</v>
      </c>
      <c r="N126" s="233">
        <v>0</v>
      </c>
      <c r="O126" s="233">
        <v>0</v>
      </c>
      <c r="P126" s="233">
        <v>0</v>
      </c>
      <c r="Q126" s="233">
        <v>0</v>
      </c>
      <c r="R126" s="233">
        <v>0</v>
      </c>
      <c r="S126" s="233">
        <f t="shared" si="56"/>
        <v>0</v>
      </c>
      <c r="U126" s="240">
        <f t="shared" si="40"/>
        <v>0</v>
      </c>
      <c r="V126" s="240">
        <f t="shared" si="41"/>
        <v>0</v>
      </c>
      <c r="W126" s="240">
        <f t="shared" si="42"/>
        <v>0</v>
      </c>
      <c r="X126" s="240">
        <f t="shared" si="51"/>
        <v>0</v>
      </c>
      <c r="Y126" s="240">
        <f t="shared" si="52"/>
        <v>0</v>
      </c>
      <c r="Z126" s="240">
        <f t="shared" si="53"/>
        <v>0</v>
      </c>
      <c r="AA126" s="240">
        <f t="shared" si="54"/>
        <v>0</v>
      </c>
      <c r="AB126" s="240">
        <f t="shared" si="55"/>
        <v>0</v>
      </c>
      <c r="AC126" s="240">
        <f t="shared" si="50"/>
        <v>0</v>
      </c>
      <c r="AD126" s="240">
        <f t="shared" si="44"/>
        <v>0</v>
      </c>
      <c r="AE126" s="240">
        <f t="shared" si="45"/>
        <v>0</v>
      </c>
      <c r="AF126" s="240">
        <f t="shared" si="46"/>
        <v>0</v>
      </c>
      <c r="AG126" s="242">
        <f t="shared" si="57"/>
        <v>0</v>
      </c>
      <c r="AH126" s="242">
        <f t="shared" si="58"/>
        <v>0</v>
      </c>
      <c r="AI126" s="240"/>
    </row>
    <row r="127" spans="1:39" s="241" customFormat="1" ht="12.75" x14ac:dyDescent="0.2">
      <c r="A127" s="232" t="s">
        <v>167</v>
      </c>
      <c r="B127" s="232" t="s">
        <v>85</v>
      </c>
      <c r="C127" s="238">
        <v>43.77</v>
      </c>
      <c r="D127" s="238">
        <v>43.53</v>
      </c>
      <c r="E127" s="238">
        <v>44.37</v>
      </c>
      <c r="F127" s="239">
        <v>37</v>
      </c>
      <c r="G127" s="233">
        <v>0</v>
      </c>
      <c r="H127" s="233">
        <v>0</v>
      </c>
      <c r="I127" s="233">
        <v>0</v>
      </c>
      <c r="J127" s="233">
        <v>0</v>
      </c>
      <c r="K127" s="233">
        <v>0</v>
      </c>
      <c r="L127" s="233">
        <v>0</v>
      </c>
      <c r="M127" s="233">
        <v>0</v>
      </c>
      <c r="N127" s="233">
        <v>0</v>
      </c>
      <c r="O127" s="233">
        <v>0</v>
      </c>
      <c r="P127" s="233">
        <v>0</v>
      </c>
      <c r="Q127" s="233">
        <v>0</v>
      </c>
      <c r="R127" s="233">
        <v>0</v>
      </c>
      <c r="S127" s="233">
        <f t="shared" si="56"/>
        <v>0</v>
      </c>
      <c r="U127" s="240">
        <f t="shared" si="40"/>
        <v>0</v>
      </c>
      <c r="V127" s="240">
        <f t="shared" si="41"/>
        <v>0</v>
      </c>
      <c r="W127" s="240">
        <f t="shared" si="42"/>
        <v>0</v>
      </c>
      <c r="X127" s="240">
        <f t="shared" si="51"/>
        <v>0</v>
      </c>
      <c r="Y127" s="240">
        <f t="shared" si="52"/>
        <v>0</v>
      </c>
      <c r="Z127" s="240">
        <f t="shared" si="53"/>
        <v>0</v>
      </c>
      <c r="AA127" s="240">
        <f t="shared" si="54"/>
        <v>0</v>
      </c>
      <c r="AB127" s="240">
        <f t="shared" si="55"/>
        <v>0</v>
      </c>
      <c r="AC127" s="240">
        <f t="shared" si="50"/>
        <v>0</v>
      </c>
      <c r="AD127" s="240">
        <f t="shared" si="44"/>
        <v>0</v>
      </c>
      <c r="AE127" s="240">
        <f t="shared" si="45"/>
        <v>0</v>
      </c>
      <c r="AF127" s="240">
        <f t="shared" si="46"/>
        <v>0</v>
      </c>
      <c r="AG127" s="242">
        <f t="shared" si="57"/>
        <v>0</v>
      </c>
      <c r="AH127" s="242">
        <f t="shared" si="58"/>
        <v>0</v>
      </c>
      <c r="AI127" s="240"/>
    </row>
    <row r="128" spans="1:39" s="241" customFormat="1" ht="12.75" x14ac:dyDescent="0.2">
      <c r="A128" s="232" t="s">
        <v>168</v>
      </c>
      <c r="B128" s="232" t="s">
        <v>86</v>
      </c>
      <c r="C128" s="238">
        <v>58.36</v>
      </c>
      <c r="D128" s="238">
        <v>58.04</v>
      </c>
      <c r="E128" s="238">
        <v>59.16</v>
      </c>
      <c r="F128" s="239">
        <v>37</v>
      </c>
      <c r="G128" s="233">
        <v>0</v>
      </c>
      <c r="H128" s="233">
        <v>0</v>
      </c>
      <c r="I128" s="233">
        <v>0</v>
      </c>
      <c r="J128" s="233">
        <v>0</v>
      </c>
      <c r="K128" s="233">
        <v>0</v>
      </c>
      <c r="L128" s="233">
        <v>0</v>
      </c>
      <c r="M128" s="233">
        <v>0</v>
      </c>
      <c r="N128" s="233">
        <v>0</v>
      </c>
      <c r="O128" s="233">
        <v>0</v>
      </c>
      <c r="P128" s="233">
        <v>0</v>
      </c>
      <c r="Q128" s="233">
        <v>0</v>
      </c>
      <c r="R128" s="233">
        <v>0</v>
      </c>
      <c r="S128" s="233">
        <f t="shared" si="56"/>
        <v>0</v>
      </c>
      <c r="U128" s="240">
        <f t="shared" si="40"/>
        <v>0</v>
      </c>
      <c r="V128" s="240">
        <f t="shared" si="41"/>
        <v>0</v>
      </c>
      <c r="W128" s="240">
        <f t="shared" si="42"/>
        <v>0</v>
      </c>
      <c r="X128" s="240">
        <f t="shared" si="51"/>
        <v>0</v>
      </c>
      <c r="Y128" s="240">
        <f t="shared" si="52"/>
        <v>0</v>
      </c>
      <c r="Z128" s="240">
        <f t="shared" si="53"/>
        <v>0</v>
      </c>
      <c r="AA128" s="240">
        <f t="shared" si="54"/>
        <v>0</v>
      </c>
      <c r="AB128" s="240">
        <f t="shared" si="55"/>
        <v>0</v>
      </c>
      <c r="AC128" s="240">
        <f t="shared" si="50"/>
        <v>0</v>
      </c>
      <c r="AD128" s="240">
        <f t="shared" si="44"/>
        <v>0</v>
      </c>
      <c r="AE128" s="240">
        <f t="shared" si="45"/>
        <v>0</v>
      </c>
      <c r="AF128" s="240">
        <f t="shared" si="46"/>
        <v>0</v>
      </c>
      <c r="AG128" s="242">
        <f t="shared" si="57"/>
        <v>0</v>
      </c>
      <c r="AH128" s="242">
        <f t="shared" si="58"/>
        <v>0</v>
      </c>
      <c r="AI128" s="240"/>
    </row>
    <row r="129" spans="1:39" s="241" customFormat="1" ht="12.75" x14ac:dyDescent="0.2">
      <c r="A129" s="232" t="s">
        <v>169</v>
      </c>
      <c r="B129" s="232" t="s">
        <v>87</v>
      </c>
      <c r="C129" s="238">
        <v>72.95</v>
      </c>
      <c r="D129" s="238">
        <v>72.55</v>
      </c>
      <c r="E129" s="238">
        <v>73.95</v>
      </c>
      <c r="F129" s="239">
        <v>37</v>
      </c>
      <c r="G129" s="233">
        <v>0</v>
      </c>
      <c r="H129" s="233">
        <v>0</v>
      </c>
      <c r="I129" s="233">
        <v>0</v>
      </c>
      <c r="J129" s="233">
        <v>0</v>
      </c>
      <c r="K129" s="233">
        <v>0</v>
      </c>
      <c r="L129" s="233">
        <v>0</v>
      </c>
      <c r="M129" s="233">
        <v>0</v>
      </c>
      <c r="N129" s="233">
        <v>0</v>
      </c>
      <c r="O129" s="233">
        <v>0</v>
      </c>
      <c r="P129" s="233">
        <v>0</v>
      </c>
      <c r="Q129" s="233">
        <v>0</v>
      </c>
      <c r="R129" s="233">
        <v>0</v>
      </c>
      <c r="S129" s="233">
        <f t="shared" si="56"/>
        <v>0</v>
      </c>
      <c r="U129" s="240">
        <f t="shared" si="40"/>
        <v>0</v>
      </c>
      <c r="V129" s="240">
        <f t="shared" si="41"/>
        <v>0</v>
      </c>
      <c r="W129" s="240">
        <f t="shared" si="42"/>
        <v>0</v>
      </c>
      <c r="X129" s="240">
        <f t="shared" si="51"/>
        <v>0</v>
      </c>
      <c r="Y129" s="240">
        <f t="shared" si="52"/>
        <v>0</v>
      </c>
      <c r="Z129" s="240">
        <f t="shared" si="53"/>
        <v>0</v>
      </c>
      <c r="AA129" s="240">
        <f t="shared" si="54"/>
        <v>0</v>
      </c>
      <c r="AB129" s="240">
        <f t="shared" si="55"/>
        <v>0</v>
      </c>
      <c r="AC129" s="240">
        <f t="shared" si="50"/>
        <v>0</v>
      </c>
      <c r="AD129" s="240">
        <f t="shared" si="44"/>
        <v>0</v>
      </c>
      <c r="AE129" s="240">
        <f t="shared" si="45"/>
        <v>0</v>
      </c>
      <c r="AF129" s="240">
        <f t="shared" si="46"/>
        <v>0</v>
      </c>
      <c r="AG129" s="242">
        <f t="shared" si="57"/>
        <v>0</v>
      </c>
      <c r="AH129" s="242">
        <f t="shared" si="58"/>
        <v>0</v>
      </c>
      <c r="AI129" s="233">
        <f>10.42*4.33</f>
        <v>45.118600000000001</v>
      </c>
    </row>
    <row r="130" spans="1:39" s="241" customFormat="1" ht="12.75" x14ac:dyDescent="0.2">
      <c r="A130" s="232" t="s">
        <v>170</v>
      </c>
      <c r="B130" s="232" t="s">
        <v>88</v>
      </c>
      <c r="C130" s="238">
        <v>87.54</v>
      </c>
      <c r="D130" s="238">
        <v>87.06</v>
      </c>
      <c r="E130" s="238">
        <v>88.74</v>
      </c>
      <c r="F130" s="239">
        <v>37</v>
      </c>
      <c r="G130" s="233">
        <v>0</v>
      </c>
      <c r="H130" s="233">
        <v>0</v>
      </c>
      <c r="I130" s="233">
        <v>0</v>
      </c>
      <c r="J130" s="233">
        <v>0</v>
      </c>
      <c r="K130" s="233">
        <v>0</v>
      </c>
      <c r="L130" s="233">
        <v>0</v>
      </c>
      <c r="M130" s="233">
        <v>0</v>
      </c>
      <c r="N130" s="233">
        <v>0</v>
      </c>
      <c r="O130" s="233">
        <v>0</v>
      </c>
      <c r="P130" s="233">
        <v>0</v>
      </c>
      <c r="Q130" s="233">
        <v>0</v>
      </c>
      <c r="R130" s="233">
        <v>0</v>
      </c>
      <c r="S130" s="233">
        <f t="shared" si="56"/>
        <v>0</v>
      </c>
      <c r="U130" s="240">
        <f t="shared" si="40"/>
        <v>0</v>
      </c>
      <c r="V130" s="240">
        <f t="shared" si="41"/>
        <v>0</v>
      </c>
      <c r="W130" s="240">
        <f t="shared" si="42"/>
        <v>0</v>
      </c>
      <c r="X130" s="240">
        <f t="shared" si="51"/>
        <v>0</v>
      </c>
      <c r="Y130" s="240">
        <f t="shared" si="52"/>
        <v>0</v>
      </c>
      <c r="Z130" s="240">
        <f t="shared" si="53"/>
        <v>0</v>
      </c>
      <c r="AA130" s="240">
        <f t="shared" si="54"/>
        <v>0</v>
      </c>
      <c r="AB130" s="240">
        <f t="shared" si="55"/>
        <v>0</v>
      </c>
      <c r="AC130" s="240">
        <f t="shared" si="50"/>
        <v>0</v>
      </c>
      <c r="AD130" s="240">
        <f t="shared" si="44"/>
        <v>0</v>
      </c>
      <c r="AE130" s="240">
        <f t="shared" si="45"/>
        <v>0</v>
      </c>
      <c r="AF130" s="240">
        <f t="shared" si="46"/>
        <v>0</v>
      </c>
      <c r="AG130" s="242">
        <f t="shared" si="57"/>
        <v>0</v>
      </c>
      <c r="AH130" s="242">
        <f t="shared" si="58"/>
        <v>0</v>
      </c>
      <c r="AI130" s="240"/>
    </row>
    <row r="131" spans="1:39" s="241" customFormat="1" ht="12.75" x14ac:dyDescent="0.2">
      <c r="A131" s="232" t="s">
        <v>171</v>
      </c>
      <c r="B131" s="232" t="s">
        <v>89</v>
      </c>
      <c r="C131" s="238">
        <v>102.13</v>
      </c>
      <c r="D131" s="238">
        <v>101.57</v>
      </c>
      <c r="E131" s="238">
        <v>103.53</v>
      </c>
      <c r="F131" s="239">
        <v>37</v>
      </c>
      <c r="G131" s="233">
        <v>0</v>
      </c>
      <c r="H131" s="233">
        <v>0</v>
      </c>
      <c r="I131" s="233">
        <v>0</v>
      </c>
      <c r="J131" s="233">
        <v>0</v>
      </c>
      <c r="K131" s="233">
        <v>0</v>
      </c>
      <c r="L131" s="233">
        <v>0</v>
      </c>
      <c r="M131" s="233">
        <v>0</v>
      </c>
      <c r="N131" s="233">
        <v>0</v>
      </c>
      <c r="O131" s="233">
        <v>0</v>
      </c>
      <c r="P131" s="233">
        <v>0</v>
      </c>
      <c r="Q131" s="233">
        <v>0</v>
      </c>
      <c r="R131" s="233">
        <v>0</v>
      </c>
      <c r="S131" s="233">
        <f t="shared" si="56"/>
        <v>0</v>
      </c>
      <c r="U131" s="240">
        <f t="shared" si="40"/>
        <v>0</v>
      </c>
      <c r="V131" s="240">
        <f t="shared" si="41"/>
        <v>0</v>
      </c>
      <c r="W131" s="240">
        <f t="shared" si="42"/>
        <v>0</v>
      </c>
      <c r="X131" s="240">
        <f t="shared" si="51"/>
        <v>0</v>
      </c>
      <c r="Y131" s="240">
        <f t="shared" si="52"/>
        <v>0</v>
      </c>
      <c r="Z131" s="240">
        <f t="shared" si="53"/>
        <v>0</v>
      </c>
      <c r="AA131" s="240">
        <f t="shared" si="54"/>
        <v>0</v>
      </c>
      <c r="AB131" s="240">
        <f t="shared" si="55"/>
        <v>0</v>
      </c>
      <c r="AC131" s="240">
        <f t="shared" si="50"/>
        <v>0</v>
      </c>
      <c r="AD131" s="240">
        <f t="shared" si="44"/>
        <v>0</v>
      </c>
      <c r="AE131" s="240">
        <f t="shared" si="45"/>
        <v>0</v>
      </c>
      <c r="AF131" s="240">
        <f t="shared" si="46"/>
        <v>0</v>
      </c>
      <c r="AG131" s="242">
        <f t="shared" si="57"/>
        <v>0</v>
      </c>
      <c r="AH131" s="242">
        <f t="shared" si="58"/>
        <v>0</v>
      </c>
      <c r="AI131" s="240"/>
    </row>
    <row r="132" spans="1:39" s="241" customFormat="1" ht="12.75" x14ac:dyDescent="0.2">
      <c r="A132" s="232" t="s">
        <v>172</v>
      </c>
      <c r="B132" s="232" t="s">
        <v>90</v>
      </c>
      <c r="C132" s="238">
        <v>116.72</v>
      </c>
      <c r="D132" s="238">
        <v>116.08</v>
      </c>
      <c r="E132" s="238">
        <v>118.32</v>
      </c>
      <c r="F132" s="239">
        <v>37</v>
      </c>
      <c r="G132" s="233">
        <v>0</v>
      </c>
      <c r="H132" s="233">
        <v>0</v>
      </c>
      <c r="I132" s="233">
        <v>0</v>
      </c>
      <c r="J132" s="233">
        <v>0</v>
      </c>
      <c r="K132" s="233">
        <v>0</v>
      </c>
      <c r="L132" s="233">
        <v>0</v>
      </c>
      <c r="M132" s="233">
        <v>0</v>
      </c>
      <c r="N132" s="233">
        <v>0</v>
      </c>
      <c r="O132" s="233">
        <v>0</v>
      </c>
      <c r="P132" s="233">
        <v>0</v>
      </c>
      <c r="Q132" s="233">
        <v>0</v>
      </c>
      <c r="R132" s="233">
        <v>0</v>
      </c>
      <c r="S132" s="233">
        <f t="shared" si="56"/>
        <v>0</v>
      </c>
      <c r="U132" s="240">
        <f t="shared" si="40"/>
        <v>0</v>
      </c>
      <c r="V132" s="240">
        <f t="shared" si="41"/>
        <v>0</v>
      </c>
      <c r="W132" s="240">
        <f t="shared" si="42"/>
        <v>0</v>
      </c>
      <c r="X132" s="240">
        <f t="shared" si="51"/>
        <v>0</v>
      </c>
      <c r="Y132" s="240">
        <f t="shared" si="52"/>
        <v>0</v>
      </c>
      <c r="Z132" s="240">
        <f t="shared" si="53"/>
        <v>0</v>
      </c>
      <c r="AA132" s="240">
        <f t="shared" si="54"/>
        <v>0</v>
      </c>
      <c r="AB132" s="240">
        <f t="shared" si="55"/>
        <v>0</v>
      </c>
      <c r="AC132" s="240">
        <f t="shared" si="50"/>
        <v>0</v>
      </c>
      <c r="AD132" s="240">
        <f t="shared" si="44"/>
        <v>0</v>
      </c>
      <c r="AE132" s="240">
        <f t="shared" si="45"/>
        <v>0</v>
      </c>
      <c r="AF132" s="240">
        <f t="shared" si="46"/>
        <v>0</v>
      </c>
      <c r="AG132" s="242">
        <f t="shared" si="57"/>
        <v>0</v>
      </c>
      <c r="AH132" s="242">
        <f t="shared" si="58"/>
        <v>0</v>
      </c>
      <c r="AI132" s="233"/>
    </row>
    <row r="133" spans="1:39" s="241" customFormat="1" ht="12.75" x14ac:dyDescent="0.2">
      <c r="A133" s="232" t="s">
        <v>173</v>
      </c>
      <c r="B133" s="232" t="s">
        <v>269</v>
      </c>
      <c r="C133" s="238">
        <v>131.31</v>
      </c>
      <c r="D133" s="238">
        <v>130.59</v>
      </c>
      <c r="E133" s="238">
        <v>133.11000000000001</v>
      </c>
      <c r="F133" s="239">
        <v>37</v>
      </c>
      <c r="G133" s="233">
        <v>0</v>
      </c>
      <c r="H133" s="233">
        <v>0</v>
      </c>
      <c r="I133" s="233">
        <v>0</v>
      </c>
      <c r="J133" s="233">
        <v>0</v>
      </c>
      <c r="K133" s="233">
        <v>0</v>
      </c>
      <c r="L133" s="233">
        <v>0</v>
      </c>
      <c r="M133" s="233">
        <v>0</v>
      </c>
      <c r="N133" s="233">
        <v>0</v>
      </c>
      <c r="O133" s="233">
        <v>0</v>
      </c>
      <c r="P133" s="233">
        <v>0</v>
      </c>
      <c r="Q133" s="233">
        <v>0</v>
      </c>
      <c r="R133" s="233">
        <v>0</v>
      </c>
      <c r="S133" s="233">
        <f t="shared" si="56"/>
        <v>0</v>
      </c>
      <c r="U133" s="240">
        <f t="shared" si="40"/>
        <v>0</v>
      </c>
      <c r="V133" s="240">
        <f t="shared" si="41"/>
        <v>0</v>
      </c>
      <c r="W133" s="240">
        <f t="shared" si="42"/>
        <v>0</v>
      </c>
      <c r="X133" s="240">
        <f t="shared" si="51"/>
        <v>0</v>
      </c>
      <c r="Y133" s="240">
        <f t="shared" si="52"/>
        <v>0</v>
      </c>
      <c r="Z133" s="240">
        <f t="shared" si="53"/>
        <v>0</v>
      </c>
      <c r="AA133" s="240">
        <f t="shared" si="54"/>
        <v>0</v>
      </c>
      <c r="AB133" s="240">
        <f t="shared" si="55"/>
        <v>0</v>
      </c>
      <c r="AC133" s="240">
        <f t="shared" si="50"/>
        <v>0</v>
      </c>
      <c r="AD133" s="240">
        <f t="shared" si="44"/>
        <v>0</v>
      </c>
      <c r="AE133" s="240">
        <f t="shared" si="45"/>
        <v>0</v>
      </c>
      <c r="AF133" s="240">
        <f t="shared" si="46"/>
        <v>0</v>
      </c>
      <c r="AG133" s="242">
        <f t="shared" si="57"/>
        <v>0</v>
      </c>
      <c r="AH133" s="242">
        <f t="shared" si="58"/>
        <v>0</v>
      </c>
      <c r="AI133" s="233"/>
    </row>
    <row r="134" spans="1:39" s="241" customFormat="1" ht="12.75" x14ac:dyDescent="0.2">
      <c r="A134" s="232" t="s">
        <v>803</v>
      </c>
      <c r="B134" s="232" t="s">
        <v>223</v>
      </c>
      <c r="C134" s="238">
        <v>401.65</v>
      </c>
      <c r="D134" s="238">
        <v>399.74</v>
      </c>
      <c r="E134" s="238">
        <v>399.74</v>
      </c>
      <c r="F134" s="239">
        <v>35</v>
      </c>
      <c r="G134" s="233">
        <v>0</v>
      </c>
      <c r="H134" s="233">
        <v>0</v>
      </c>
      <c r="I134" s="233">
        <v>0</v>
      </c>
      <c r="J134" s="233">
        <v>0</v>
      </c>
      <c r="K134" s="233">
        <v>0</v>
      </c>
      <c r="L134" s="233">
        <v>0</v>
      </c>
      <c r="M134" s="240">
        <v>0</v>
      </c>
      <c r="N134" s="240">
        <v>0</v>
      </c>
      <c r="O134" s="240">
        <v>0</v>
      </c>
      <c r="P134" s="240">
        <v>0</v>
      </c>
      <c r="Q134" s="240">
        <v>0</v>
      </c>
      <c r="R134" s="240">
        <v>0</v>
      </c>
      <c r="S134" s="233">
        <f t="shared" si="56"/>
        <v>0</v>
      </c>
      <c r="U134" s="240">
        <f t="shared" si="40"/>
        <v>0</v>
      </c>
      <c r="V134" s="240">
        <f t="shared" si="41"/>
        <v>0</v>
      </c>
      <c r="W134" s="240">
        <f t="shared" si="42"/>
        <v>0</v>
      </c>
      <c r="X134" s="240">
        <f t="shared" si="51"/>
        <v>0</v>
      </c>
      <c r="Y134" s="240">
        <f t="shared" si="52"/>
        <v>0</v>
      </c>
      <c r="Z134" s="240">
        <f t="shared" si="53"/>
        <v>0</v>
      </c>
      <c r="AA134" s="240">
        <f t="shared" si="54"/>
        <v>0</v>
      </c>
      <c r="AB134" s="240">
        <f t="shared" si="55"/>
        <v>0</v>
      </c>
      <c r="AC134" s="240">
        <f t="shared" si="50"/>
        <v>0</v>
      </c>
      <c r="AD134" s="240">
        <f t="shared" si="44"/>
        <v>0</v>
      </c>
      <c r="AE134" s="240">
        <f t="shared" si="45"/>
        <v>0</v>
      </c>
      <c r="AF134" s="240">
        <f t="shared" si="46"/>
        <v>0</v>
      </c>
      <c r="AG134" s="242">
        <f t="shared" si="57"/>
        <v>0</v>
      </c>
      <c r="AH134" s="242">
        <f t="shared" si="58"/>
        <v>0</v>
      </c>
      <c r="AI134" s="240"/>
      <c r="AL134" s="241">
        <v>1</v>
      </c>
      <c r="AM134" s="243">
        <f>+AL134*AG134</f>
        <v>0</v>
      </c>
    </row>
    <row r="135" spans="1:39" s="241" customFormat="1" ht="12.75" x14ac:dyDescent="0.2">
      <c r="A135" s="232" t="s">
        <v>834</v>
      </c>
      <c r="B135" s="232" t="s">
        <v>863</v>
      </c>
      <c r="C135" s="238">
        <v>12.234999999999999</v>
      </c>
      <c r="D135" s="238">
        <v>12.26</v>
      </c>
      <c r="E135" s="238">
        <v>12.375</v>
      </c>
      <c r="F135" s="239">
        <v>37</v>
      </c>
      <c r="G135" s="233">
        <v>24.6</v>
      </c>
      <c r="H135" s="233">
        <v>24.6</v>
      </c>
      <c r="I135" s="233">
        <v>0</v>
      </c>
      <c r="J135" s="233">
        <v>0</v>
      </c>
      <c r="K135" s="233">
        <v>0</v>
      </c>
      <c r="L135" s="233">
        <v>0</v>
      </c>
      <c r="M135" s="240">
        <v>2031.01</v>
      </c>
      <c r="N135" s="240">
        <v>2006.54</v>
      </c>
      <c r="O135" s="240">
        <v>2006.54</v>
      </c>
      <c r="P135" s="240">
        <v>2029.5</v>
      </c>
      <c r="Q135" s="240">
        <v>2029.5</v>
      </c>
      <c r="R135" s="240">
        <v>2029.5</v>
      </c>
      <c r="S135" s="233">
        <f t="shared" si="56"/>
        <v>12181.79</v>
      </c>
      <c r="U135" s="240">
        <f t="shared" si="40"/>
        <v>2.0106252554147939</v>
      </c>
      <c r="V135" s="240">
        <f t="shared" si="41"/>
        <v>2.0106252554147939</v>
      </c>
      <c r="W135" s="240">
        <f t="shared" si="42"/>
        <v>0</v>
      </c>
      <c r="X135" s="240">
        <f t="shared" si="51"/>
        <v>0</v>
      </c>
      <c r="Y135" s="240">
        <f t="shared" si="52"/>
        <v>0</v>
      </c>
      <c r="Z135" s="240">
        <f t="shared" si="53"/>
        <v>0</v>
      </c>
      <c r="AA135" s="240">
        <f t="shared" si="54"/>
        <v>165.66150081566067</v>
      </c>
      <c r="AB135" s="240">
        <f t="shared" si="55"/>
        <v>163.66557911908646</v>
      </c>
      <c r="AC135" s="240">
        <f t="shared" si="50"/>
        <v>162.14464646464646</v>
      </c>
      <c r="AD135" s="240">
        <f t="shared" si="44"/>
        <v>164</v>
      </c>
      <c r="AE135" s="240">
        <f t="shared" si="45"/>
        <v>164</v>
      </c>
      <c r="AF135" s="240">
        <f t="shared" si="46"/>
        <v>164</v>
      </c>
      <c r="AG135" s="242">
        <f t="shared" si="57"/>
        <v>82.291081409185267</v>
      </c>
      <c r="AH135" s="242">
        <f t="shared" si="58"/>
        <v>987.49297691022321</v>
      </c>
      <c r="AI135" s="240"/>
      <c r="AJ135" s="241">
        <v>1</v>
      </c>
      <c r="AK135" s="243">
        <f>+AJ135*AG135</f>
        <v>82.291081409185267</v>
      </c>
      <c r="AM135" s="243"/>
    </row>
    <row r="136" spans="1:39" s="241" customFormat="1" ht="12.75" x14ac:dyDescent="0.2">
      <c r="A136" s="232" t="s">
        <v>835</v>
      </c>
      <c r="B136" s="232" t="s">
        <v>864</v>
      </c>
      <c r="C136" s="238">
        <v>24.47</v>
      </c>
      <c r="D136" s="238">
        <v>24.47</v>
      </c>
      <c r="E136" s="238">
        <v>24.75</v>
      </c>
      <c r="F136" s="239">
        <v>37</v>
      </c>
      <c r="G136" s="233">
        <v>1838.8500000000001</v>
      </c>
      <c r="H136" s="233">
        <v>1820.3999999999999</v>
      </c>
      <c r="I136" s="233">
        <v>1820.3999999999999</v>
      </c>
      <c r="J136" s="233">
        <v>1783.5</v>
      </c>
      <c r="K136" s="233">
        <v>2039.4200000000003</v>
      </c>
      <c r="L136" s="233">
        <v>1942.65</v>
      </c>
      <c r="M136" s="240">
        <v>3407.3199999999997</v>
      </c>
      <c r="N136" s="240">
        <v>3308.04</v>
      </c>
      <c r="O136" s="240">
        <v>3401.34</v>
      </c>
      <c r="P136" s="240">
        <v>3440.17</v>
      </c>
      <c r="Q136" s="240">
        <v>3347.4500000000003</v>
      </c>
      <c r="R136" s="240">
        <v>3297.93</v>
      </c>
      <c r="S136" s="233">
        <f>SUM(G136:R136)</f>
        <v>31447.469999999998</v>
      </c>
      <c r="U136" s="240">
        <f t="shared" si="40"/>
        <v>75.147118921127927</v>
      </c>
      <c r="V136" s="240">
        <f t="shared" si="41"/>
        <v>74.393134450347361</v>
      </c>
      <c r="W136" s="240">
        <f t="shared" si="42"/>
        <v>74.393134450347361</v>
      </c>
      <c r="X136" s="240">
        <f t="shared" ref="X136:AB137" si="60">IFERROR(J136/$D136,0)</f>
        <v>72.885165508786272</v>
      </c>
      <c r="Y136" s="240">
        <f t="shared" si="60"/>
        <v>83.343686146301607</v>
      </c>
      <c r="Z136" s="240">
        <f t="shared" si="60"/>
        <v>79.38904781364937</v>
      </c>
      <c r="AA136" s="240">
        <f t="shared" si="60"/>
        <v>139.24478953821006</v>
      </c>
      <c r="AB136" s="240">
        <f t="shared" si="60"/>
        <v>135.18757662443809</v>
      </c>
      <c r="AC136" s="240">
        <f t="shared" si="50"/>
        <v>137.4278787878788</v>
      </c>
      <c r="AD136" s="240">
        <f t="shared" si="44"/>
        <v>138.99676767676769</v>
      </c>
      <c r="AE136" s="240">
        <f t="shared" si="45"/>
        <v>135.25050505050507</v>
      </c>
      <c r="AF136" s="240">
        <f t="shared" si="46"/>
        <v>133.24969696969697</v>
      </c>
      <c r="AG136" s="242">
        <f>IFERROR(AVERAGE(U136:AF136),0)</f>
        <v>106.57570849483803</v>
      </c>
      <c r="AH136" s="242">
        <f>SUM(U136:AF136)</f>
        <v>1278.9085019380564</v>
      </c>
      <c r="AI136" s="240"/>
      <c r="AJ136" s="241">
        <v>1</v>
      </c>
      <c r="AK136" s="243">
        <f>+AJ136*AG136</f>
        <v>106.57570849483803</v>
      </c>
      <c r="AM136" s="243"/>
    </row>
    <row r="137" spans="1:39" s="241" customFormat="1" ht="12.75" x14ac:dyDescent="0.2">
      <c r="A137" s="232" t="s">
        <v>839</v>
      </c>
      <c r="B137" s="232" t="s">
        <v>868</v>
      </c>
      <c r="C137" s="238">
        <v>36.74</v>
      </c>
      <c r="D137" s="238">
        <v>36.74</v>
      </c>
      <c r="E137" s="238">
        <v>37.1</v>
      </c>
      <c r="F137" s="239">
        <v>37</v>
      </c>
      <c r="G137" s="233">
        <v>960.44</v>
      </c>
      <c r="H137" s="233">
        <v>960.44</v>
      </c>
      <c r="I137" s="233">
        <v>997.38</v>
      </c>
      <c r="J137" s="233">
        <v>997.38000000000011</v>
      </c>
      <c r="K137" s="233">
        <v>1086.26</v>
      </c>
      <c r="L137" s="233">
        <v>1114.19</v>
      </c>
      <c r="M137" s="240">
        <v>3477.72</v>
      </c>
      <c r="N137" s="240">
        <v>3572.97</v>
      </c>
      <c r="O137" s="240">
        <v>3591.3500000000004</v>
      </c>
      <c r="P137" s="240">
        <v>3589.16</v>
      </c>
      <c r="Q137" s="240">
        <v>3635.7999999999997</v>
      </c>
      <c r="R137" s="240">
        <v>3682.18</v>
      </c>
      <c r="S137" s="233">
        <f>SUM(G137:R137)</f>
        <v>27665.269999999997</v>
      </c>
      <c r="U137" s="240">
        <f t="shared" si="40"/>
        <v>26.14153511159499</v>
      </c>
      <c r="V137" s="240">
        <f t="shared" si="41"/>
        <v>26.14153511159499</v>
      </c>
      <c r="W137" s="240">
        <f t="shared" si="42"/>
        <v>27.146978769733259</v>
      </c>
      <c r="X137" s="240">
        <f t="shared" si="60"/>
        <v>27.146978769733263</v>
      </c>
      <c r="Y137" s="240">
        <f t="shared" si="60"/>
        <v>29.566140446379965</v>
      </c>
      <c r="Z137" s="240">
        <f t="shared" si="60"/>
        <v>30.32634730538922</v>
      </c>
      <c r="AA137" s="240">
        <f t="shared" si="60"/>
        <v>94.657593903102878</v>
      </c>
      <c r="AB137" s="240">
        <f t="shared" si="60"/>
        <v>97.250136091453442</v>
      </c>
      <c r="AC137" s="240">
        <f t="shared" si="50"/>
        <v>96.801886792452834</v>
      </c>
      <c r="AD137" s="240">
        <f t="shared" si="44"/>
        <v>96.742857142857133</v>
      </c>
      <c r="AE137" s="240">
        <f t="shared" si="45"/>
        <v>97.999999999999986</v>
      </c>
      <c r="AF137" s="240">
        <f t="shared" si="46"/>
        <v>99.250134770889474</v>
      </c>
      <c r="AG137" s="242">
        <f>IFERROR(AVERAGE(U137:AF137),0)</f>
        <v>62.431010351265115</v>
      </c>
      <c r="AH137" s="242">
        <f>SUM(U137:AF137)</f>
        <v>749.17212421518138</v>
      </c>
      <c r="AI137" s="240"/>
      <c r="AJ137" s="241">
        <v>1</v>
      </c>
      <c r="AK137" s="243">
        <f>+AJ137*AG137</f>
        <v>62.431010351265115</v>
      </c>
      <c r="AM137" s="243"/>
    </row>
    <row r="138" spans="1:39" s="241" customFormat="1" ht="17.45" customHeight="1" x14ac:dyDescent="0.2">
      <c r="A138" s="232" t="s">
        <v>842</v>
      </c>
      <c r="B138" s="232" t="s">
        <v>871</v>
      </c>
      <c r="C138" s="238">
        <v>44.575000000000003</v>
      </c>
      <c r="D138" s="238">
        <v>45.13</v>
      </c>
      <c r="E138" s="238">
        <v>45.55</v>
      </c>
      <c r="F138" s="239">
        <v>37</v>
      </c>
      <c r="G138" s="233">
        <v>1790.9</v>
      </c>
      <c r="H138" s="233">
        <v>1768.21</v>
      </c>
      <c r="I138" s="233">
        <v>1790.8999999999999</v>
      </c>
      <c r="J138" s="233">
        <v>5435.6</v>
      </c>
      <c r="K138" s="233">
        <v>10164.030000000001</v>
      </c>
      <c r="L138" s="233">
        <v>9867.2899999999991</v>
      </c>
      <c r="M138" s="240">
        <v>10947.720000000001</v>
      </c>
      <c r="N138" s="240">
        <v>10876.33</v>
      </c>
      <c r="O138" s="240">
        <v>10831.199999999999</v>
      </c>
      <c r="P138" s="240">
        <v>10943.39</v>
      </c>
      <c r="Q138" s="240">
        <v>10806.75</v>
      </c>
      <c r="R138" s="240">
        <v>10886.449999999999</v>
      </c>
      <c r="S138" s="233">
        <f t="shared" si="56"/>
        <v>96108.77</v>
      </c>
      <c r="U138" s="240">
        <f t="shared" si="40"/>
        <v>40.177229388670781</v>
      </c>
      <c r="V138" s="240">
        <f t="shared" si="41"/>
        <v>39.668199663488501</v>
      </c>
      <c r="W138" s="240">
        <f t="shared" si="42"/>
        <v>40.177229388670774</v>
      </c>
      <c r="X138" s="240">
        <f t="shared" si="51"/>
        <v>120.44316419233326</v>
      </c>
      <c r="Y138" s="240">
        <f t="shared" si="52"/>
        <v>225.21670729005098</v>
      </c>
      <c r="Z138" s="240">
        <f t="shared" si="53"/>
        <v>218.64148016840235</v>
      </c>
      <c r="AA138" s="240">
        <f t="shared" si="54"/>
        <v>242.58187458453358</v>
      </c>
      <c r="AB138" s="240">
        <f t="shared" si="55"/>
        <v>240.99999999999997</v>
      </c>
      <c r="AC138" s="240">
        <f t="shared" si="50"/>
        <v>237.78704720087813</v>
      </c>
      <c r="AD138" s="240">
        <f t="shared" si="44"/>
        <v>240.25005488474204</v>
      </c>
      <c r="AE138" s="240">
        <f t="shared" si="45"/>
        <v>237.25027442371021</v>
      </c>
      <c r="AF138" s="240">
        <f t="shared" si="46"/>
        <v>239</v>
      </c>
      <c r="AG138" s="242">
        <f t="shared" si="57"/>
        <v>176.84943843212338</v>
      </c>
      <c r="AH138" s="242">
        <f t="shared" si="58"/>
        <v>2122.1932611854804</v>
      </c>
      <c r="AI138" s="240"/>
      <c r="AJ138" s="241">
        <v>1</v>
      </c>
      <c r="AK138" s="243">
        <f>+AJ138*AG138</f>
        <v>176.84943843212338</v>
      </c>
      <c r="AM138" s="243"/>
    </row>
    <row r="139" spans="1:39" s="241" customFormat="1" ht="12.75" x14ac:dyDescent="0.2">
      <c r="A139" s="232" t="s">
        <v>158</v>
      </c>
      <c r="B139" s="232" t="s">
        <v>261</v>
      </c>
      <c r="C139" s="238">
        <v>20.52</v>
      </c>
      <c r="D139" s="238">
        <v>20.420000000000002</v>
      </c>
      <c r="E139" s="238">
        <v>20.8</v>
      </c>
      <c r="F139" s="239">
        <v>35</v>
      </c>
      <c r="G139" s="233">
        <v>143.64000000000001</v>
      </c>
      <c r="H139" s="233">
        <v>287.28000000000003</v>
      </c>
      <c r="I139" s="233">
        <v>225.72</v>
      </c>
      <c r="J139" s="233">
        <v>348.84</v>
      </c>
      <c r="K139" s="233">
        <v>184.68</v>
      </c>
      <c r="L139" s="233">
        <v>102.2</v>
      </c>
      <c r="M139" s="240">
        <v>122.52</v>
      </c>
      <c r="N139" s="240">
        <v>183.78</v>
      </c>
      <c r="O139" s="240">
        <v>183.78</v>
      </c>
      <c r="P139" s="240">
        <v>351.7</v>
      </c>
      <c r="Q139" s="240">
        <v>166.4</v>
      </c>
      <c r="R139" s="240">
        <v>166.4</v>
      </c>
      <c r="S139" s="233">
        <f t="shared" si="56"/>
        <v>2466.94</v>
      </c>
      <c r="U139" s="240">
        <f t="shared" si="40"/>
        <v>7.0000000000000009</v>
      </c>
      <c r="V139" s="240">
        <f t="shared" si="41"/>
        <v>14.000000000000002</v>
      </c>
      <c r="W139" s="240">
        <f t="shared" si="42"/>
        <v>11</v>
      </c>
      <c r="X139" s="240">
        <f t="shared" si="51"/>
        <v>17.083251714005875</v>
      </c>
      <c r="Y139" s="240">
        <f t="shared" si="52"/>
        <v>9.0440744368266408</v>
      </c>
      <c r="Z139" s="240">
        <f t="shared" si="53"/>
        <v>5.0048971596474043</v>
      </c>
      <c r="AA139" s="240">
        <f t="shared" si="54"/>
        <v>5.9999999999999991</v>
      </c>
      <c r="AB139" s="240">
        <f t="shared" si="55"/>
        <v>9</v>
      </c>
      <c r="AC139" s="240">
        <f t="shared" ref="AC139:AC189" si="61">IFERROR(O139/$E139,0)</f>
        <v>8.835576923076923</v>
      </c>
      <c r="AD139" s="240">
        <f t="shared" si="44"/>
        <v>16.908653846153847</v>
      </c>
      <c r="AE139" s="240">
        <f t="shared" si="45"/>
        <v>8</v>
      </c>
      <c r="AF139" s="240">
        <f t="shared" si="46"/>
        <v>8</v>
      </c>
      <c r="AG139" s="242">
        <f t="shared" si="57"/>
        <v>9.9897045066425587</v>
      </c>
      <c r="AH139" s="242">
        <f t="shared" si="58"/>
        <v>119.8764540797107</v>
      </c>
      <c r="AI139" s="240"/>
      <c r="AL139" s="241">
        <v>1</v>
      </c>
      <c r="AM139" s="243">
        <f>+AL139*AG139</f>
        <v>9.9897045066425587</v>
      </c>
    </row>
    <row r="140" spans="1:39" s="241" customFormat="1" ht="12.75" x14ac:dyDescent="0.2">
      <c r="A140" s="232" t="s">
        <v>159</v>
      </c>
      <c r="B140" s="232" t="s">
        <v>262</v>
      </c>
      <c r="C140" s="238">
        <v>27.71</v>
      </c>
      <c r="D140" s="238">
        <v>27.579999999999995</v>
      </c>
      <c r="E140" s="238">
        <v>28.119999999999997</v>
      </c>
      <c r="F140" s="239">
        <v>35</v>
      </c>
      <c r="G140" s="233">
        <v>83.13</v>
      </c>
      <c r="H140" s="233">
        <v>27.71</v>
      </c>
      <c r="I140" s="233">
        <v>27.71</v>
      </c>
      <c r="J140" s="233">
        <v>55.42</v>
      </c>
      <c r="K140" s="233">
        <v>83.13</v>
      </c>
      <c r="L140" s="233">
        <v>27.58</v>
      </c>
      <c r="M140" s="240">
        <v>55.16</v>
      </c>
      <c r="N140" s="240">
        <v>27.58</v>
      </c>
      <c r="O140" s="240">
        <v>137.89999999999998</v>
      </c>
      <c r="P140" s="240">
        <v>28.12</v>
      </c>
      <c r="Q140" s="240">
        <v>112.48</v>
      </c>
      <c r="R140" s="240">
        <v>140.6</v>
      </c>
      <c r="S140" s="233">
        <f t="shared" si="56"/>
        <v>806.52</v>
      </c>
      <c r="U140" s="240">
        <f t="shared" ref="U140:U193" si="62">IFERROR(G140/$C140,0)</f>
        <v>2.9999999999999996</v>
      </c>
      <c r="V140" s="240">
        <f t="shared" ref="V140:V193" si="63">IFERROR(H140/$C140,0)</f>
        <v>1</v>
      </c>
      <c r="W140" s="240">
        <f t="shared" ref="W140:W193" si="64">IFERROR(I140/$C140,0)</f>
        <v>1</v>
      </c>
      <c r="X140" s="240">
        <f t="shared" si="51"/>
        <v>2.0094271211022483</v>
      </c>
      <c r="Y140" s="240">
        <f t="shared" si="52"/>
        <v>3.0141406816533722</v>
      </c>
      <c r="Z140" s="240">
        <f t="shared" si="53"/>
        <v>1.0000000000000002</v>
      </c>
      <c r="AA140" s="240">
        <f t="shared" si="54"/>
        <v>2.0000000000000004</v>
      </c>
      <c r="AB140" s="240">
        <f t="shared" si="55"/>
        <v>1.0000000000000002</v>
      </c>
      <c r="AC140" s="240">
        <f t="shared" si="61"/>
        <v>4.903982930298719</v>
      </c>
      <c r="AD140" s="240">
        <f t="shared" ref="AD140:AD193" si="65">IFERROR(P140/$E140,0)</f>
        <v>1.0000000000000002</v>
      </c>
      <c r="AE140" s="240">
        <f t="shared" ref="AE140:AE193" si="66">IFERROR(Q140/$E140,0)</f>
        <v>4.0000000000000009</v>
      </c>
      <c r="AF140" s="240">
        <f t="shared" ref="AF140:AF193" si="67">IFERROR(R140/$E140,0)</f>
        <v>5</v>
      </c>
      <c r="AG140" s="242">
        <f t="shared" si="57"/>
        <v>2.4106292277545283</v>
      </c>
      <c r="AH140" s="242">
        <f t="shared" si="58"/>
        <v>28.927550733054339</v>
      </c>
      <c r="AI140" s="240"/>
      <c r="AL140" s="241">
        <v>1</v>
      </c>
      <c r="AM140" s="243">
        <f>+AL140*AG140</f>
        <v>2.4106292277545283</v>
      </c>
    </row>
    <row r="141" spans="1:39" s="241" customFormat="1" ht="12.75" x14ac:dyDescent="0.2">
      <c r="A141" s="232" t="s">
        <v>160</v>
      </c>
      <c r="B141" s="232" t="s">
        <v>263</v>
      </c>
      <c r="C141" s="238">
        <v>33.159999999999997</v>
      </c>
      <c r="D141" s="238">
        <v>33</v>
      </c>
      <c r="E141" s="238">
        <v>33.71</v>
      </c>
      <c r="F141" s="239">
        <v>35</v>
      </c>
      <c r="G141" s="233">
        <v>530.55999999999995</v>
      </c>
      <c r="H141" s="233">
        <v>728.71</v>
      </c>
      <c r="I141" s="233">
        <v>571.44999999999993</v>
      </c>
      <c r="J141" s="233">
        <v>530.56000000000006</v>
      </c>
      <c r="K141" s="233">
        <v>135.88</v>
      </c>
      <c r="L141" s="233">
        <v>627.16000000000008</v>
      </c>
      <c r="M141" s="240">
        <v>660</v>
      </c>
      <c r="N141" s="240">
        <v>495</v>
      </c>
      <c r="O141" s="240">
        <v>495</v>
      </c>
      <c r="P141" s="240">
        <v>370.09999999999997</v>
      </c>
      <c r="Q141" s="240">
        <v>471.94</v>
      </c>
      <c r="R141" s="240">
        <v>269.68</v>
      </c>
      <c r="S141" s="233">
        <f t="shared" si="56"/>
        <v>5886.04</v>
      </c>
      <c r="U141" s="240">
        <f t="shared" si="62"/>
        <v>16</v>
      </c>
      <c r="V141" s="240">
        <f t="shared" si="63"/>
        <v>21.975572979493368</v>
      </c>
      <c r="W141" s="240">
        <f t="shared" si="64"/>
        <v>17.233112183353438</v>
      </c>
      <c r="X141" s="240">
        <f t="shared" si="51"/>
        <v>16.077575757575758</v>
      </c>
      <c r="Y141" s="240">
        <f t="shared" si="52"/>
        <v>4.1175757575757572</v>
      </c>
      <c r="Z141" s="240">
        <f t="shared" si="53"/>
        <v>19.004848484848488</v>
      </c>
      <c r="AA141" s="240">
        <f t="shared" si="54"/>
        <v>20</v>
      </c>
      <c r="AB141" s="240">
        <f t="shared" si="55"/>
        <v>15</v>
      </c>
      <c r="AC141" s="240">
        <f t="shared" si="61"/>
        <v>14.684070008899436</v>
      </c>
      <c r="AD141" s="240">
        <f t="shared" si="65"/>
        <v>10.978938000593294</v>
      </c>
      <c r="AE141" s="240">
        <f t="shared" si="66"/>
        <v>14</v>
      </c>
      <c r="AF141" s="240">
        <f t="shared" si="67"/>
        <v>8</v>
      </c>
      <c r="AG141" s="242">
        <f t="shared" si="57"/>
        <v>14.755974431028294</v>
      </c>
      <c r="AH141" s="242">
        <f t="shared" si="58"/>
        <v>177.07169317233954</v>
      </c>
      <c r="AI141" s="240"/>
      <c r="AL141" s="241">
        <v>1</v>
      </c>
      <c r="AM141" s="243">
        <f>+AL141*AG141</f>
        <v>14.755974431028294</v>
      </c>
    </row>
    <row r="142" spans="1:39" s="241" customFormat="1" ht="12.75" x14ac:dyDescent="0.2">
      <c r="A142" s="232" t="s">
        <v>161</v>
      </c>
      <c r="B142" s="232" t="s">
        <v>264</v>
      </c>
      <c r="C142" s="238">
        <v>46.38</v>
      </c>
      <c r="D142" s="238">
        <v>46.16</v>
      </c>
      <c r="E142" s="238">
        <v>47.18</v>
      </c>
      <c r="F142" s="239">
        <v>35</v>
      </c>
      <c r="G142" s="233">
        <v>92.76</v>
      </c>
      <c r="H142" s="233">
        <v>139.14000000000001</v>
      </c>
      <c r="I142" s="233">
        <v>92.76</v>
      </c>
      <c r="J142" s="233">
        <v>139.13999999999999</v>
      </c>
      <c r="K142" s="233">
        <v>139.14000000000001</v>
      </c>
      <c r="L142" s="233">
        <v>46.16</v>
      </c>
      <c r="M142" s="240">
        <v>92.32</v>
      </c>
      <c r="N142" s="240">
        <v>46.16</v>
      </c>
      <c r="O142" s="240">
        <v>46.16</v>
      </c>
      <c r="P142" s="240">
        <v>141.54</v>
      </c>
      <c r="Q142" s="240">
        <v>94.36</v>
      </c>
      <c r="R142" s="240">
        <v>94.36</v>
      </c>
      <c r="S142" s="233">
        <f t="shared" si="56"/>
        <v>1163.9999999999998</v>
      </c>
      <c r="U142" s="240">
        <f t="shared" si="62"/>
        <v>2</v>
      </c>
      <c r="V142" s="240">
        <f t="shared" si="63"/>
        <v>3</v>
      </c>
      <c r="W142" s="240">
        <f t="shared" si="64"/>
        <v>2</v>
      </c>
      <c r="X142" s="240">
        <f t="shared" si="51"/>
        <v>3.0142980935875214</v>
      </c>
      <c r="Y142" s="240">
        <f t="shared" si="52"/>
        <v>3.0142980935875223</v>
      </c>
      <c r="Z142" s="240">
        <f t="shared" si="53"/>
        <v>1</v>
      </c>
      <c r="AA142" s="240">
        <f t="shared" si="54"/>
        <v>2</v>
      </c>
      <c r="AB142" s="240">
        <f t="shared" si="55"/>
        <v>1</v>
      </c>
      <c r="AC142" s="240">
        <f t="shared" si="61"/>
        <v>0.97838066977532845</v>
      </c>
      <c r="AD142" s="240">
        <f t="shared" si="65"/>
        <v>3</v>
      </c>
      <c r="AE142" s="240">
        <f t="shared" si="66"/>
        <v>2</v>
      </c>
      <c r="AF142" s="240">
        <f t="shared" si="67"/>
        <v>2</v>
      </c>
      <c r="AG142" s="242">
        <f t="shared" si="57"/>
        <v>2.0839147380791978</v>
      </c>
      <c r="AH142" s="242">
        <f t="shared" si="58"/>
        <v>25.006976856950374</v>
      </c>
      <c r="AI142" s="240"/>
      <c r="AL142" s="241">
        <v>1</v>
      </c>
      <c r="AM142" s="243">
        <f>+AL142*AG142</f>
        <v>2.0839147380791978</v>
      </c>
    </row>
    <row r="143" spans="1:39" s="241" customFormat="1" ht="12.75" x14ac:dyDescent="0.2">
      <c r="A143" s="232" t="s">
        <v>162</v>
      </c>
      <c r="B143" s="232" t="s">
        <v>265</v>
      </c>
      <c r="C143" s="238">
        <v>60.029999999999994</v>
      </c>
      <c r="D143" s="238">
        <v>59.739999999999995</v>
      </c>
      <c r="E143" s="238">
        <v>61.070000000000007</v>
      </c>
      <c r="F143" s="239">
        <v>35</v>
      </c>
      <c r="G143" s="233">
        <v>0</v>
      </c>
      <c r="H143" s="233">
        <v>0</v>
      </c>
      <c r="I143" s="233">
        <v>0</v>
      </c>
      <c r="J143" s="233">
        <v>0</v>
      </c>
      <c r="K143" s="233">
        <v>0</v>
      </c>
      <c r="L143" s="233">
        <v>0</v>
      </c>
      <c r="M143" s="240">
        <v>0</v>
      </c>
      <c r="N143" s="240">
        <v>0</v>
      </c>
      <c r="O143" s="240">
        <v>0</v>
      </c>
      <c r="P143" s="240">
        <v>0</v>
      </c>
      <c r="Q143" s="240">
        <v>0</v>
      </c>
      <c r="R143" s="240">
        <v>0</v>
      </c>
      <c r="S143" s="233">
        <f t="shared" si="56"/>
        <v>0</v>
      </c>
      <c r="U143" s="240">
        <f t="shared" si="62"/>
        <v>0</v>
      </c>
      <c r="V143" s="240">
        <f t="shared" si="63"/>
        <v>0</v>
      </c>
      <c r="W143" s="240">
        <f t="shared" si="64"/>
        <v>0</v>
      </c>
      <c r="X143" s="240">
        <f>IFERROR(J143/$D143,0)</f>
        <v>0</v>
      </c>
      <c r="Y143" s="240">
        <f>IFERROR(K143/$D143,0)</f>
        <v>0</v>
      </c>
      <c r="Z143" s="240">
        <f>IFERROR(L143/$D143,0)</f>
        <v>0</v>
      </c>
      <c r="AA143" s="240">
        <f>IFERROR(M143/$D143,0)</f>
        <v>0</v>
      </c>
      <c r="AB143" s="240">
        <f>IFERROR(N143/$D143,0)</f>
        <v>0</v>
      </c>
      <c r="AC143" s="240">
        <f t="shared" si="61"/>
        <v>0</v>
      </c>
      <c r="AD143" s="240">
        <f t="shared" si="65"/>
        <v>0</v>
      </c>
      <c r="AE143" s="240">
        <f t="shared" si="66"/>
        <v>0</v>
      </c>
      <c r="AF143" s="240">
        <f t="shared" si="67"/>
        <v>0</v>
      </c>
      <c r="AG143" s="242">
        <f t="shared" si="57"/>
        <v>0</v>
      </c>
      <c r="AH143" s="242">
        <f t="shared" si="58"/>
        <v>0</v>
      </c>
      <c r="AI143" s="240"/>
      <c r="AL143" s="241">
        <v>1</v>
      </c>
      <c r="AM143" s="243">
        <f>+AL143*AG143</f>
        <v>0</v>
      </c>
    </row>
    <row r="144" spans="1:39" ht="12.75" x14ac:dyDescent="0.2">
      <c r="A144" s="58" t="s">
        <v>150</v>
      </c>
      <c r="B144" s="58" t="s">
        <v>253</v>
      </c>
      <c r="C144" s="11">
        <v>21.65</v>
      </c>
      <c r="D144" s="11">
        <v>21.54</v>
      </c>
      <c r="E144" s="11">
        <v>21.92</v>
      </c>
      <c r="F144" s="248">
        <v>35</v>
      </c>
      <c r="G144" s="12">
        <v>995.9</v>
      </c>
      <c r="H144" s="12">
        <v>736.1</v>
      </c>
      <c r="I144" s="12">
        <v>866</v>
      </c>
      <c r="J144" s="12">
        <v>822.7</v>
      </c>
      <c r="K144" s="12">
        <v>497.95</v>
      </c>
      <c r="L144" s="12">
        <v>300.79000000000002</v>
      </c>
      <c r="M144" s="13">
        <v>473.66</v>
      </c>
      <c r="N144" s="13">
        <v>64.62</v>
      </c>
      <c r="O144" s="13">
        <v>409.26</v>
      </c>
      <c r="P144" s="13">
        <v>328.42</v>
      </c>
      <c r="Q144" s="13">
        <v>482.24</v>
      </c>
      <c r="R144" s="13">
        <v>394.56</v>
      </c>
      <c r="S144" s="12">
        <f t="shared" ref="S144:S174" si="68">SUM(G144:R144)</f>
        <v>6372.2</v>
      </c>
      <c r="U144" s="13">
        <f t="shared" si="62"/>
        <v>46</v>
      </c>
      <c r="V144" s="13">
        <f t="shared" si="63"/>
        <v>34</v>
      </c>
      <c r="W144" s="13">
        <f t="shared" si="64"/>
        <v>40</v>
      </c>
      <c r="X144" s="13">
        <f t="shared" ref="X144:AB158" si="69">J144/$D144</f>
        <v>38.194057567316626</v>
      </c>
      <c r="Y144" s="13">
        <f t="shared" si="69"/>
        <v>23.117455896007428</v>
      </c>
      <c r="Z144" s="13">
        <f t="shared" si="69"/>
        <v>13.964252553389045</v>
      </c>
      <c r="AA144" s="13">
        <f t="shared" si="69"/>
        <v>21.989786443825444</v>
      </c>
      <c r="AB144" s="13">
        <f t="shared" si="69"/>
        <v>3.0000000000000004</v>
      </c>
      <c r="AC144" s="13">
        <f t="shared" si="61"/>
        <v>18.670620437956202</v>
      </c>
      <c r="AD144" s="13">
        <f t="shared" si="65"/>
        <v>14.982664233576642</v>
      </c>
      <c r="AE144" s="13">
        <f t="shared" si="66"/>
        <v>22</v>
      </c>
      <c r="AF144" s="13">
        <f t="shared" si="67"/>
        <v>18</v>
      </c>
      <c r="AG144" s="15">
        <f t="shared" ref="AG144:AG174" si="70">IFERROR(AVERAGE(U144:AF144),0)</f>
        <v>24.493236427672613</v>
      </c>
      <c r="AH144" s="15">
        <f t="shared" ref="AH144:AH174" si="71">SUM(U144:AF144)</f>
        <v>293.91883713207136</v>
      </c>
      <c r="AI144" s="13"/>
    </row>
    <row r="145" spans="1:35" ht="12.75" x14ac:dyDescent="0.2">
      <c r="A145" s="58" t="s">
        <v>151</v>
      </c>
      <c r="B145" s="58" t="s">
        <v>254</v>
      </c>
      <c r="C145" s="11">
        <v>28.860000000000003</v>
      </c>
      <c r="D145" s="11">
        <v>28.72</v>
      </c>
      <c r="E145" s="11">
        <v>29.26</v>
      </c>
      <c r="F145" s="248">
        <v>35</v>
      </c>
      <c r="G145" s="12">
        <v>86.58</v>
      </c>
      <c r="H145" s="12">
        <v>117.33</v>
      </c>
      <c r="I145" s="12">
        <v>375.18</v>
      </c>
      <c r="J145" s="12">
        <v>144.30000000000001</v>
      </c>
      <c r="K145" s="12">
        <v>202.01999999999998</v>
      </c>
      <c r="L145" s="12">
        <v>287.2</v>
      </c>
      <c r="M145" s="13">
        <v>86.02</v>
      </c>
      <c r="N145" s="13">
        <v>-28.72</v>
      </c>
      <c r="O145" s="13">
        <v>172.32</v>
      </c>
      <c r="P145" s="13">
        <v>58.52</v>
      </c>
      <c r="Q145" s="13">
        <v>204.82000000000002</v>
      </c>
      <c r="R145" s="13">
        <v>204.82000000000002</v>
      </c>
      <c r="S145" s="12">
        <f t="shared" si="68"/>
        <v>1910.3899999999999</v>
      </c>
      <c r="U145" s="13">
        <f t="shared" si="62"/>
        <v>2.9999999999999996</v>
      </c>
      <c r="V145" s="13">
        <f t="shared" si="63"/>
        <v>4.0654885654885646</v>
      </c>
      <c r="W145" s="13">
        <f t="shared" si="64"/>
        <v>12.999999999999998</v>
      </c>
      <c r="X145" s="13">
        <f t="shared" si="69"/>
        <v>5.0243732590529255</v>
      </c>
      <c r="Y145" s="13">
        <f t="shared" si="69"/>
        <v>7.034122562674094</v>
      </c>
      <c r="Z145" s="13">
        <f t="shared" si="69"/>
        <v>10</v>
      </c>
      <c r="AA145" s="13">
        <f t="shared" si="69"/>
        <v>2.9951253481894149</v>
      </c>
      <c r="AB145" s="13">
        <f t="shared" si="69"/>
        <v>-1</v>
      </c>
      <c r="AC145" s="13">
        <f t="shared" si="61"/>
        <v>5.8892686261107308</v>
      </c>
      <c r="AD145" s="13">
        <f t="shared" si="65"/>
        <v>2</v>
      </c>
      <c r="AE145" s="13">
        <f t="shared" si="66"/>
        <v>7</v>
      </c>
      <c r="AF145" s="13">
        <f t="shared" si="67"/>
        <v>7</v>
      </c>
      <c r="AG145" s="15">
        <f t="shared" si="70"/>
        <v>5.5006981967929782</v>
      </c>
      <c r="AH145" s="15">
        <f t="shared" si="71"/>
        <v>66.008378361515739</v>
      </c>
      <c r="AI145" s="13"/>
    </row>
    <row r="146" spans="1:35" ht="12.75" x14ac:dyDescent="0.2">
      <c r="A146" s="58" t="s">
        <v>152</v>
      </c>
      <c r="B146" s="58" t="s">
        <v>255</v>
      </c>
      <c r="C146" s="11">
        <v>34.299999999999997</v>
      </c>
      <c r="D146" s="11">
        <v>34.130000000000003</v>
      </c>
      <c r="E146" s="11">
        <v>34.840000000000003</v>
      </c>
      <c r="F146" s="248">
        <v>35</v>
      </c>
      <c r="G146" s="12">
        <v>960.4</v>
      </c>
      <c r="H146" s="12">
        <v>754.59999999999991</v>
      </c>
      <c r="I146" s="12">
        <v>1063.3</v>
      </c>
      <c r="J146" s="12">
        <v>1029</v>
      </c>
      <c r="K146" s="12">
        <v>754.6</v>
      </c>
      <c r="L146" s="12">
        <v>511.44</v>
      </c>
      <c r="M146" s="13">
        <v>205.74</v>
      </c>
      <c r="N146" s="13">
        <v>68.260000000000005</v>
      </c>
      <c r="O146" s="13">
        <v>375.43</v>
      </c>
      <c r="P146" s="13">
        <v>625.70000000000005</v>
      </c>
      <c r="Q146" s="13">
        <v>871.00000000000011</v>
      </c>
      <c r="R146" s="13">
        <v>592.28</v>
      </c>
      <c r="S146" s="12">
        <f t="shared" si="68"/>
        <v>7811.75</v>
      </c>
      <c r="U146" s="13">
        <f t="shared" si="62"/>
        <v>28</v>
      </c>
      <c r="V146" s="13">
        <f t="shared" si="63"/>
        <v>22</v>
      </c>
      <c r="W146" s="13">
        <f t="shared" si="64"/>
        <v>31</v>
      </c>
      <c r="X146" s="13">
        <f t="shared" si="69"/>
        <v>30.149428655142103</v>
      </c>
      <c r="Y146" s="13">
        <f t="shared" si="69"/>
        <v>22.109581013770875</v>
      </c>
      <c r="Z146" s="13">
        <f t="shared" si="69"/>
        <v>14.985057134485789</v>
      </c>
      <c r="AA146" s="13">
        <f t="shared" si="69"/>
        <v>6.0281277468502781</v>
      </c>
      <c r="AB146" s="13">
        <f t="shared" si="69"/>
        <v>2</v>
      </c>
      <c r="AC146" s="13">
        <f t="shared" si="61"/>
        <v>10.775832376578645</v>
      </c>
      <c r="AD146" s="13">
        <f t="shared" si="65"/>
        <v>17.959242250287026</v>
      </c>
      <c r="AE146" s="13">
        <f t="shared" si="66"/>
        <v>25</v>
      </c>
      <c r="AF146" s="13">
        <f t="shared" si="67"/>
        <v>16.999999999999996</v>
      </c>
      <c r="AG146" s="15">
        <f t="shared" si="70"/>
        <v>18.917272431426227</v>
      </c>
      <c r="AH146" s="15">
        <f t="shared" si="71"/>
        <v>227.00726917711472</v>
      </c>
      <c r="AI146" s="13"/>
    </row>
    <row r="147" spans="1:35" ht="12.75" x14ac:dyDescent="0.2">
      <c r="A147" s="58" t="s">
        <v>153</v>
      </c>
      <c r="B147" s="58" t="s">
        <v>256</v>
      </c>
      <c r="C147" s="11">
        <v>47.51</v>
      </c>
      <c r="D147" s="11">
        <v>47.28</v>
      </c>
      <c r="E147" s="11">
        <v>48.3</v>
      </c>
      <c r="F147" s="248">
        <v>35</v>
      </c>
      <c r="G147" s="12">
        <v>237.55</v>
      </c>
      <c r="H147" s="12">
        <v>142.53</v>
      </c>
      <c r="I147" s="12">
        <v>142.53</v>
      </c>
      <c r="J147" s="12">
        <v>0</v>
      </c>
      <c r="K147" s="12">
        <v>0</v>
      </c>
      <c r="L147" s="12">
        <v>94.56</v>
      </c>
      <c r="M147" s="13">
        <v>141.84</v>
      </c>
      <c r="N147" s="13">
        <v>94.56</v>
      </c>
      <c r="O147" s="13">
        <v>331.18999999999994</v>
      </c>
      <c r="P147" s="13">
        <v>2.04</v>
      </c>
      <c r="Q147" s="13">
        <v>96.6</v>
      </c>
      <c r="R147" s="13">
        <v>48.3</v>
      </c>
      <c r="S147" s="12">
        <f t="shared" si="68"/>
        <v>1331.7</v>
      </c>
      <c r="U147" s="13">
        <f t="shared" si="62"/>
        <v>5.0000000000000009</v>
      </c>
      <c r="V147" s="13">
        <f t="shared" si="63"/>
        <v>3</v>
      </c>
      <c r="W147" s="13">
        <f t="shared" si="64"/>
        <v>3</v>
      </c>
      <c r="X147" s="13">
        <f t="shared" si="69"/>
        <v>0</v>
      </c>
      <c r="Y147" s="13">
        <f t="shared" si="69"/>
        <v>0</v>
      </c>
      <c r="Z147" s="13">
        <f t="shared" si="69"/>
        <v>2</v>
      </c>
      <c r="AA147" s="13">
        <f t="shared" si="69"/>
        <v>3</v>
      </c>
      <c r="AB147" s="13">
        <f t="shared" si="69"/>
        <v>2</v>
      </c>
      <c r="AC147" s="13">
        <f t="shared" si="61"/>
        <v>6.8569358178053825</v>
      </c>
      <c r="AD147" s="13">
        <f t="shared" si="65"/>
        <v>4.2236024844720499E-2</v>
      </c>
      <c r="AE147" s="13">
        <f t="shared" si="66"/>
        <v>2</v>
      </c>
      <c r="AF147" s="13">
        <f t="shared" si="67"/>
        <v>1</v>
      </c>
      <c r="AG147" s="15">
        <f t="shared" si="70"/>
        <v>2.3249309868875083</v>
      </c>
      <c r="AH147" s="15">
        <f t="shared" si="71"/>
        <v>27.899171842650102</v>
      </c>
      <c r="AI147" s="13"/>
    </row>
    <row r="148" spans="1:35" ht="12.75" x14ac:dyDescent="0.2">
      <c r="A148" s="58" t="s">
        <v>848</v>
      </c>
      <c r="B148" s="58" t="s">
        <v>875</v>
      </c>
      <c r="C148" s="11">
        <v>74.98</v>
      </c>
      <c r="D148" s="11">
        <v>74.63</v>
      </c>
      <c r="E148" s="11">
        <v>77.44</v>
      </c>
      <c r="F148" s="248">
        <v>38</v>
      </c>
      <c r="G148" s="12">
        <v>0</v>
      </c>
      <c r="H148" s="12">
        <v>0</v>
      </c>
      <c r="I148" s="12">
        <v>149.96</v>
      </c>
      <c r="J148" s="12">
        <v>0</v>
      </c>
      <c r="K148" s="12">
        <v>0</v>
      </c>
      <c r="L148" s="12">
        <v>0</v>
      </c>
      <c r="M148" s="13">
        <v>74.63</v>
      </c>
      <c r="N148" s="13">
        <v>0</v>
      </c>
      <c r="O148" s="13">
        <v>0</v>
      </c>
      <c r="P148" s="13">
        <v>0</v>
      </c>
      <c r="Q148" s="13">
        <v>77.44</v>
      </c>
      <c r="R148" s="13">
        <v>0</v>
      </c>
      <c r="S148" s="12">
        <f t="shared" si="68"/>
        <v>302.02999999999997</v>
      </c>
      <c r="U148" s="13">
        <f t="shared" si="62"/>
        <v>0</v>
      </c>
      <c r="V148" s="13">
        <f t="shared" si="63"/>
        <v>0</v>
      </c>
      <c r="W148" s="13">
        <f t="shared" si="64"/>
        <v>2</v>
      </c>
      <c r="X148" s="13">
        <f t="shared" si="69"/>
        <v>0</v>
      </c>
      <c r="Y148" s="13">
        <f t="shared" si="69"/>
        <v>0</v>
      </c>
      <c r="Z148" s="13">
        <f t="shared" si="69"/>
        <v>0</v>
      </c>
      <c r="AA148" s="13">
        <f t="shared" si="69"/>
        <v>1</v>
      </c>
      <c r="AB148" s="13">
        <f t="shared" si="69"/>
        <v>0</v>
      </c>
      <c r="AC148" s="13">
        <f t="shared" si="61"/>
        <v>0</v>
      </c>
      <c r="AD148" s="13">
        <f t="shared" si="65"/>
        <v>0</v>
      </c>
      <c r="AE148" s="13">
        <f t="shared" si="66"/>
        <v>1</v>
      </c>
      <c r="AF148" s="13">
        <f t="shared" si="67"/>
        <v>0</v>
      </c>
      <c r="AG148" s="15">
        <f t="shared" si="70"/>
        <v>0.33333333333333331</v>
      </c>
      <c r="AH148" s="15">
        <f t="shared" si="71"/>
        <v>4</v>
      </c>
      <c r="AI148" s="13"/>
    </row>
    <row r="149" spans="1:35" ht="12.75" x14ac:dyDescent="0.2">
      <c r="A149" s="58" t="s">
        <v>154</v>
      </c>
      <c r="B149" s="58" t="s">
        <v>257</v>
      </c>
      <c r="C149" s="11">
        <v>132.04</v>
      </c>
      <c r="D149" s="11">
        <v>131.41999999999999</v>
      </c>
      <c r="E149" s="11">
        <v>136.75</v>
      </c>
      <c r="F149" s="248">
        <v>38</v>
      </c>
      <c r="G149" s="12">
        <v>396.12</v>
      </c>
      <c r="H149" s="12">
        <v>396.12</v>
      </c>
      <c r="I149" s="12">
        <v>660.2</v>
      </c>
      <c r="J149" s="12">
        <v>264.08</v>
      </c>
      <c r="K149" s="12">
        <v>528.16</v>
      </c>
      <c r="L149" s="12">
        <v>131.41999999999999</v>
      </c>
      <c r="M149" s="13">
        <v>525.67999999999995</v>
      </c>
      <c r="N149" s="13">
        <v>394.26</v>
      </c>
      <c r="O149" s="13">
        <v>0</v>
      </c>
      <c r="P149" s="13">
        <v>410.25</v>
      </c>
      <c r="Q149" s="13">
        <v>547</v>
      </c>
      <c r="R149" s="13">
        <v>410.25</v>
      </c>
      <c r="S149" s="12">
        <f t="shared" si="68"/>
        <v>4663.54</v>
      </c>
      <c r="U149" s="13">
        <f t="shared" si="62"/>
        <v>3</v>
      </c>
      <c r="V149" s="13">
        <f t="shared" si="63"/>
        <v>3</v>
      </c>
      <c r="W149" s="13">
        <f t="shared" si="64"/>
        <v>5.0000000000000009</v>
      </c>
      <c r="X149" s="13">
        <f t="shared" si="69"/>
        <v>2.0094353979607367</v>
      </c>
      <c r="Y149" s="13">
        <f t="shared" si="69"/>
        <v>4.0188707959214733</v>
      </c>
      <c r="Z149" s="13">
        <f t="shared" si="69"/>
        <v>1</v>
      </c>
      <c r="AA149" s="13">
        <f t="shared" si="69"/>
        <v>4</v>
      </c>
      <c r="AB149" s="13">
        <f t="shared" si="69"/>
        <v>3</v>
      </c>
      <c r="AC149" s="13">
        <f t="shared" si="61"/>
        <v>0</v>
      </c>
      <c r="AD149" s="13">
        <f t="shared" si="65"/>
        <v>3</v>
      </c>
      <c r="AE149" s="13">
        <f t="shared" si="66"/>
        <v>4</v>
      </c>
      <c r="AF149" s="13">
        <f t="shared" si="67"/>
        <v>3</v>
      </c>
      <c r="AG149" s="15">
        <f t="shared" si="70"/>
        <v>2.9190255161568506</v>
      </c>
      <c r="AH149" s="15">
        <f t="shared" si="71"/>
        <v>35.028306193882209</v>
      </c>
      <c r="AI149" s="13"/>
    </row>
    <row r="150" spans="1:35" ht="12.75" x14ac:dyDescent="0.2">
      <c r="A150" s="58" t="s">
        <v>155</v>
      </c>
      <c r="B150" s="58" t="s">
        <v>258</v>
      </c>
      <c r="C150" s="11">
        <v>61.159999999999989</v>
      </c>
      <c r="D150" s="11">
        <v>60.86</v>
      </c>
      <c r="E150" s="11">
        <v>62.19</v>
      </c>
      <c r="F150" s="248">
        <v>35</v>
      </c>
      <c r="G150" s="12">
        <v>122.32</v>
      </c>
      <c r="H150" s="12">
        <v>122.32</v>
      </c>
      <c r="I150" s="12">
        <v>305.79999999999995</v>
      </c>
      <c r="J150" s="12">
        <v>244.64</v>
      </c>
      <c r="K150" s="12">
        <v>305.8</v>
      </c>
      <c r="L150" s="12">
        <v>183.18</v>
      </c>
      <c r="M150" s="13">
        <v>60.86</v>
      </c>
      <c r="N150" s="13">
        <v>243.44</v>
      </c>
      <c r="O150" s="13">
        <v>182.58</v>
      </c>
      <c r="P150" s="13">
        <v>310.95</v>
      </c>
      <c r="Q150" s="13">
        <v>435.33</v>
      </c>
      <c r="R150" s="13">
        <v>248.76</v>
      </c>
      <c r="S150" s="12">
        <f t="shared" si="68"/>
        <v>2765.9799999999996</v>
      </c>
      <c r="U150" s="13">
        <f t="shared" si="62"/>
        <v>2.0000000000000004</v>
      </c>
      <c r="V150" s="13">
        <f t="shared" si="63"/>
        <v>2.0000000000000004</v>
      </c>
      <c r="W150" s="13">
        <f t="shared" si="64"/>
        <v>5</v>
      </c>
      <c r="X150" s="13">
        <f t="shared" si="69"/>
        <v>4.0197173841603675</v>
      </c>
      <c r="Y150" s="13">
        <f t="shared" si="69"/>
        <v>5.0246467302004607</v>
      </c>
      <c r="Z150" s="13">
        <f t="shared" si="69"/>
        <v>3.0098586920801842</v>
      </c>
      <c r="AA150" s="13">
        <f t="shared" si="69"/>
        <v>1</v>
      </c>
      <c r="AB150" s="13">
        <f t="shared" si="69"/>
        <v>4</v>
      </c>
      <c r="AC150" s="13">
        <f t="shared" si="61"/>
        <v>2.935841775205017</v>
      </c>
      <c r="AD150" s="13">
        <f t="shared" si="65"/>
        <v>5</v>
      </c>
      <c r="AE150" s="13">
        <f t="shared" si="66"/>
        <v>7</v>
      </c>
      <c r="AF150" s="13">
        <f t="shared" si="67"/>
        <v>4</v>
      </c>
      <c r="AG150" s="15">
        <f t="shared" si="70"/>
        <v>3.749172048470502</v>
      </c>
      <c r="AH150" s="15">
        <f t="shared" si="71"/>
        <v>44.990064581646024</v>
      </c>
      <c r="AI150" s="13"/>
    </row>
    <row r="151" spans="1:35" ht="12.75" x14ac:dyDescent="0.2">
      <c r="A151" s="58" t="s">
        <v>156</v>
      </c>
      <c r="B151" s="58" t="s">
        <v>259</v>
      </c>
      <c r="C151" s="11">
        <v>88.04</v>
      </c>
      <c r="D151" s="11">
        <v>87.61</v>
      </c>
      <c r="E151" s="11">
        <v>89.44</v>
      </c>
      <c r="F151" s="248">
        <v>35</v>
      </c>
      <c r="G151" s="12">
        <v>0</v>
      </c>
      <c r="H151" s="12">
        <v>0</v>
      </c>
      <c r="I151" s="12">
        <v>176.08</v>
      </c>
      <c r="J151" s="12">
        <v>60.39</v>
      </c>
      <c r="K151" s="12">
        <v>440.20000000000005</v>
      </c>
      <c r="L151" s="12">
        <v>86.75</v>
      </c>
      <c r="M151" s="13">
        <v>0</v>
      </c>
      <c r="N151" s="13">
        <v>0</v>
      </c>
      <c r="O151" s="13">
        <v>0</v>
      </c>
      <c r="P151" s="13">
        <v>177.05</v>
      </c>
      <c r="Q151" s="13">
        <v>89.44</v>
      </c>
      <c r="R151" s="13">
        <v>0</v>
      </c>
      <c r="S151" s="12">
        <f t="shared" si="68"/>
        <v>1029.9100000000001</v>
      </c>
      <c r="U151" s="13">
        <f t="shared" si="62"/>
        <v>0</v>
      </c>
      <c r="V151" s="13">
        <f t="shared" si="63"/>
        <v>0</v>
      </c>
      <c r="W151" s="13">
        <f t="shared" si="64"/>
        <v>2</v>
      </c>
      <c r="X151" s="13">
        <f t="shared" si="69"/>
        <v>0.68930487387284556</v>
      </c>
      <c r="Y151" s="13">
        <f t="shared" si="69"/>
        <v>5.0245405775596401</v>
      </c>
      <c r="Z151" s="13">
        <f t="shared" si="69"/>
        <v>0.99018376897614424</v>
      </c>
      <c r="AA151" s="13">
        <f t="shared" si="69"/>
        <v>0</v>
      </c>
      <c r="AB151" s="13">
        <f t="shared" si="69"/>
        <v>0</v>
      </c>
      <c r="AC151" s="13">
        <f t="shared" si="61"/>
        <v>0</v>
      </c>
      <c r="AD151" s="13">
        <f t="shared" si="65"/>
        <v>1.9795393559928445</v>
      </c>
      <c r="AE151" s="13">
        <f t="shared" si="66"/>
        <v>1</v>
      </c>
      <c r="AF151" s="13">
        <f t="shared" si="67"/>
        <v>0</v>
      </c>
      <c r="AG151" s="15">
        <f t="shared" si="70"/>
        <v>0.97363071470012297</v>
      </c>
      <c r="AH151" s="15">
        <f t="shared" si="71"/>
        <v>11.683568576401475</v>
      </c>
      <c r="AI151" s="13"/>
    </row>
    <row r="152" spans="1:35" ht="12.75" x14ac:dyDescent="0.2">
      <c r="A152" s="58" t="s">
        <v>157</v>
      </c>
      <c r="B152" s="58" t="s">
        <v>260</v>
      </c>
      <c r="C152" s="11">
        <v>114.03</v>
      </c>
      <c r="D152" s="11">
        <v>113.47999999999999</v>
      </c>
      <c r="E152" s="11">
        <v>115.6</v>
      </c>
      <c r="F152" s="248">
        <v>35</v>
      </c>
      <c r="G152" s="12">
        <v>0</v>
      </c>
      <c r="H152" s="12">
        <v>114.03</v>
      </c>
      <c r="I152" s="12">
        <v>114.03</v>
      </c>
      <c r="J152" s="12">
        <v>135.47</v>
      </c>
      <c r="K152" s="12">
        <v>456.12</v>
      </c>
      <c r="L152" s="12">
        <v>0</v>
      </c>
      <c r="M152" s="13">
        <v>226.96</v>
      </c>
      <c r="N152" s="13">
        <v>453.92</v>
      </c>
      <c r="O152" s="13">
        <v>0</v>
      </c>
      <c r="P152" s="13">
        <v>115.6</v>
      </c>
      <c r="Q152" s="13">
        <v>0</v>
      </c>
      <c r="R152" s="13">
        <v>346.79999999999995</v>
      </c>
      <c r="S152" s="12">
        <f t="shared" si="68"/>
        <v>1962.9299999999998</v>
      </c>
      <c r="U152" s="13">
        <f t="shared" si="62"/>
        <v>0</v>
      </c>
      <c r="V152" s="13">
        <f t="shared" si="63"/>
        <v>1</v>
      </c>
      <c r="W152" s="13">
        <f t="shared" si="64"/>
        <v>1</v>
      </c>
      <c r="X152" s="13">
        <f t="shared" si="69"/>
        <v>1.1937786394078254</v>
      </c>
      <c r="Y152" s="13">
        <f t="shared" si="69"/>
        <v>4.0193866760662678</v>
      </c>
      <c r="Z152" s="13">
        <f t="shared" si="69"/>
        <v>0</v>
      </c>
      <c r="AA152" s="13">
        <f t="shared" si="69"/>
        <v>2.0000000000000004</v>
      </c>
      <c r="AB152" s="13">
        <f t="shared" si="69"/>
        <v>4.0000000000000009</v>
      </c>
      <c r="AC152" s="13">
        <f t="shared" si="61"/>
        <v>0</v>
      </c>
      <c r="AD152" s="13">
        <f t="shared" si="65"/>
        <v>1</v>
      </c>
      <c r="AE152" s="13">
        <f t="shared" si="66"/>
        <v>0</v>
      </c>
      <c r="AF152" s="13">
        <f t="shared" si="67"/>
        <v>2.9999999999999996</v>
      </c>
      <c r="AG152" s="15">
        <f t="shared" si="70"/>
        <v>1.4344304429561745</v>
      </c>
      <c r="AH152" s="15">
        <f t="shared" si="71"/>
        <v>17.213165315474093</v>
      </c>
      <c r="AI152" s="13"/>
    </row>
    <row r="153" spans="1:35" ht="12.75" x14ac:dyDescent="0.2">
      <c r="A153" s="58" t="s">
        <v>174</v>
      </c>
      <c r="B153" s="58" t="s">
        <v>270</v>
      </c>
      <c r="C153" s="11">
        <v>4.59</v>
      </c>
      <c r="D153" s="11">
        <v>4.57</v>
      </c>
      <c r="E153" s="11">
        <v>4.6399999999999997</v>
      </c>
      <c r="F153" s="248">
        <v>37</v>
      </c>
      <c r="G153" s="12">
        <v>605.53</v>
      </c>
      <c r="H153" s="12">
        <v>1211.27</v>
      </c>
      <c r="I153" s="12">
        <v>1064.8800000000001</v>
      </c>
      <c r="J153" s="12">
        <v>766.53</v>
      </c>
      <c r="K153" s="12">
        <v>1041.9299999999998</v>
      </c>
      <c r="L153" s="12">
        <v>585.02</v>
      </c>
      <c r="M153" s="13">
        <v>681.89</v>
      </c>
      <c r="N153" s="13">
        <v>690.06999999999994</v>
      </c>
      <c r="O153" s="13">
        <v>623.40000000000009</v>
      </c>
      <c r="P153" s="13">
        <v>625.06999999999994</v>
      </c>
      <c r="Q153" s="13">
        <v>596.74</v>
      </c>
      <c r="R153" s="13">
        <v>681.12</v>
      </c>
      <c r="S153" s="12">
        <f t="shared" si="68"/>
        <v>9173.4500000000007</v>
      </c>
      <c r="U153" s="13">
        <f t="shared" si="62"/>
        <v>131.92374727668846</v>
      </c>
      <c r="V153" s="13">
        <f t="shared" si="63"/>
        <v>263.89324618736384</v>
      </c>
      <c r="W153" s="13">
        <f t="shared" si="64"/>
        <v>232.00000000000003</v>
      </c>
      <c r="X153" s="13">
        <f t="shared" si="69"/>
        <v>167.73085339168489</v>
      </c>
      <c r="Y153" s="13">
        <f t="shared" si="69"/>
        <v>227.99343544857763</v>
      </c>
      <c r="Z153" s="13">
        <f t="shared" si="69"/>
        <v>128.01312910284463</v>
      </c>
      <c r="AA153" s="13">
        <f t="shared" si="69"/>
        <v>149.21006564551422</v>
      </c>
      <c r="AB153" s="13">
        <f t="shared" si="69"/>
        <v>150.99999999999997</v>
      </c>
      <c r="AC153" s="13">
        <f t="shared" si="61"/>
        <v>134.35344827586209</v>
      </c>
      <c r="AD153" s="13">
        <f t="shared" si="65"/>
        <v>134.71336206896552</v>
      </c>
      <c r="AE153" s="13">
        <f t="shared" si="66"/>
        <v>128.60775862068968</v>
      </c>
      <c r="AF153" s="13">
        <f t="shared" si="67"/>
        <v>146.79310344827587</v>
      </c>
      <c r="AG153" s="15">
        <f t="shared" si="70"/>
        <v>166.35267912220559</v>
      </c>
      <c r="AH153" s="15">
        <f t="shared" si="71"/>
        <v>1996.232149466467</v>
      </c>
      <c r="AI153" s="13"/>
    </row>
    <row r="154" spans="1:35" ht="12.75" x14ac:dyDescent="0.2">
      <c r="A154" s="58" t="s">
        <v>175</v>
      </c>
      <c r="B154" s="58" t="s">
        <v>271</v>
      </c>
      <c r="C154" s="11">
        <v>20.94</v>
      </c>
      <c r="D154" s="11">
        <v>20.8</v>
      </c>
      <c r="E154" s="11">
        <v>21.07</v>
      </c>
      <c r="F154" s="248">
        <v>32</v>
      </c>
      <c r="G154" s="12">
        <v>4397.3999999999996</v>
      </c>
      <c r="H154" s="12">
        <v>5151.24</v>
      </c>
      <c r="I154" s="12">
        <v>4889.4900000000007</v>
      </c>
      <c r="J154" s="12">
        <v>12050.97</v>
      </c>
      <c r="K154" s="12">
        <v>9004.1999999999989</v>
      </c>
      <c r="L154" s="12">
        <v>4221</v>
      </c>
      <c r="M154" s="13">
        <v>3673.5600000000004</v>
      </c>
      <c r="N154" s="13">
        <v>4108</v>
      </c>
      <c r="O154" s="13">
        <v>6947.2000000000007</v>
      </c>
      <c r="P154" s="13">
        <v>4451.8499999999995</v>
      </c>
      <c r="Q154" s="13">
        <v>4361.5400000000009</v>
      </c>
      <c r="R154" s="13">
        <v>6784.5999999999995</v>
      </c>
      <c r="S154" s="12">
        <f t="shared" si="68"/>
        <v>70041.05</v>
      </c>
      <c r="U154" s="13">
        <f t="shared" si="62"/>
        <v>209.99999999999997</v>
      </c>
      <c r="V154" s="13">
        <f t="shared" si="63"/>
        <v>245.99999999999997</v>
      </c>
      <c r="W154" s="13">
        <f t="shared" si="64"/>
        <v>233.50000000000003</v>
      </c>
      <c r="X154" s="13">
        <f t="shared" si="69"/>
        <v>579.3735576923076</v>
      </c>
      <c r="Y154" s="13">
        <f t="shared" si="69"/>
        <v>432.89423076923072</v>
      </c>
      <c r="Z154" s="13">
        <f t="shared" si="69"/>
        <v>202.93269230769229</v>
      </c>
      <c r="AA154" s="13">
        <f t="shared" si="69"/>
        <v>176.61346153846156</v>
      </c>
      <c r="AB154" s="13">
        <f t="shared" si="69"/>
        <v>197.5</v>
      </c>
      <c r="AC154" s="13">
        <f t="shared" si="61"/>
        <v>329.71998101566209</v>
      </c>
      <c r="AD154" s="13">
        <f t="shared" si="65"/>
        <v>211.28856193640243</v>
      </c>
      <c r="AE154" s="13">
        <f t="shared" si="66"/>
        <v>207.00237304224018</v>
      </c>
      <c r="AF154" s="13">
        <f t="shared" si="67"/>
        <v>322.00284765068812</v>
      </c>
      <c r="AG154" s="15">
        <f t="shared" si="70"/>
        <v>279.06897549605713</v>
      </c>
      <c r="AH154" s="15">
        <f t="shared" si="71"/>
        <v>3348.8277059526854</v>
      </c>
      <c r="AI154" s="13"/>
    </row>
    <row r="155" spans="1:35" ht="12.75" x14ac:dyDescent="0.2">
      <c r="A155" s="58" t="s">
        <v>176</v>
      </c>
      <c r="B155" s="58" t="s">
        <v>272</v>
      </c>
      <c r="C155" s="11">
        <v>20.94</v>
      </c>
      <c r="D155" s="11">
        <v>20.8</v>
      </c>
      <c r="E155" s="11">
        <v>21.07</v>
      </c>
      <c r="F155" s="248">
        <v>32</v>
      </c>
      <c r="G155" s="12">
        <v>0</v>
      </c>
      <c r="H155" s="12">
        <v>0</v>
      </c>
      <c r="I155" s="12">
        <v>0</v>
      </c>
      <c r="J155" s="12">
        <v>0</v>
      </c>
      <c r="K155" s="12">
        <v>0</v>
      </c>
      <c r="L155" s="12">
        <v>0</v>
      </c>
      <c r="M155" s="13">
        <v>0</v>
      </c>
      <c r="N155" s="13">
        <v>0</v>
      </c>
      <c r="O155" s="13">
        <v>0</v>
      </c>
      <c r="P155" s="13">
        <v>0</v>
      </c>
      <c r="Q155" s="13">
        <v>0</v>
      </c>
      <c r="R155" s="13">
        <v>0</v>
      </c>
      <c r="S155" s="12">
        <f t="shared" si="68"/>
        <v>0</v>
      </c>
      <c r="U155" s="13">
        <f t="shared" si="62"/>
        <v>0</v>
      </c>
      <c r="V155" s="13">
        <f t="shared" si="63"/>
        <v>0</v>
      </c>
      <c r="W155" s="13">
        <f t="shared" si="64"/>
        <v>0</v>
      </c>
      <c r="X155" s="13">
        <f t="shared" si="69"/>
        <v>0</v>
      </c>
      <c r="Y155" s="13">
        <f t="shared" si="69"/>
        <v>0</v>
      </c>
      <c r="Z155" s="13">
        <f t="shared" si="69"/>
        <v>0</v>
      </c>
      <c r="AA155" s="13">
        <f t="shared" si="69"/>
        <v>0</v>
      </c>
      <c r="AB155" s="13">
        <f t="shared" si="69"/>
        <v>0</v>
      </c>
      <c r="AC155" s="13">
        <f t="shared" si="61"/>
        <v>0</v>
      </c>
      <c r="AD155" s="13">
        <f t="shared" si="65"/>
        <v>0</v>
      </c>
      <c r="AE155" s="13">
        <f t="shared" si="66"/>
        <v>0</v>
      </c>
      <c r="AF155" s="13">
        <f t="shared" si="67"/>
        <v>0</v>
      </c>
      <c r="AG155" s="15">
        <f t="shared" si="70"/>
        <v>0</v>
      </c>
      <c r="AH155" s="15">
        <f t="shared" si="71"/>
        <v>0</v>
      </c>
      <c r="AI155" s="13"/>
    </row>
    <row r="156" spans="1:35" ht="12.75" x14ac:dyDescent="0.2">
      <c r="A156" s="58" t="s">
        <v>177</v>
      </c>
      <c r="B156" s="58" t="s">
        <v>273</v>
      </c>
      <c r="C156" s="11">
        <v>9.8699999999999992</v>
      </c>
      <c r="D156" s="11">
        <v>9.82</v>
      </c>
      <c r="E156" s="11">
        <v>10.210000000000001</v>
      </c>
      <c r="F156" s="248">
        <v>38</v>
      </c>
      <c r="G156" s="12">
        <v>128.22</v>
      </c>
      <c r="H156" s="12">
        <v>128.22</v>
      </c>
      <c r="I156" s="12">
        <v>128.22</v>
      </c>
      <c r="J156" s="12">
        <v>128.22</v>
      </c>
      <c r="K156" s="12">
        <v>128.22</v>
      </c>
      <c r="L156" s="12">
        <v>127.56</v>
      </c>
      <c r="M156" s="13">
        <v>127.56</v>
      </c>
      <c r="N156" s="13">
        <v>127.56</v>
      </c>
      <c r="O156" s="13">
        <v>127.56</v>
      </c>
      <c r="P156" s="13">
        <v>127.56</v>
      </c>
      <c r="Q156" s="13">
        <v>127.56</v>
      </c>
      <c r="R156" s="13">
        <v>127.56</v>
      </c>
      <c r="S156" s="12">
        <f t="shared" si="68"/>
        <v>1534.0199999999998</v>
      </c>
      <c r="U156" s="13">
        <f t="shared" si="62"/>
        <v>12.990881458966566</v>
      </c>
      <c r="V156" s="13">
        <f t="shared" si="63"/>
        <v>12.990881458966566</v>
      </c>
      <c r="W156" s="13">
        <f t="shared" si="64"/>
        <v>12.990881458966566</v>
      </c>
      <c r="X156" s="13">
        <f t="shared" si="69"/>
        <v>13.057026476578411</v>
      </c>
      <c r="Y156" s="13">
        <f t="shared" si="69"/>
        <v>13.057026476578411</v>
      </c>
      <c r="Z156" s="13">
        <f t="shared" si="69"/>
        <v>12.989816700610998</v>
      </c>
      <c r="AA156" s="13">
        <f t="shared" si="69"/>
        <v>12.989816700610998</v>
      </c>
      <c r="AB156" s="13">
        <f t="shared" si="69"/>
        <v>12.989816700610998</v>
      </c>
      <c r="AC156" s="13">
        <f t="shared" si="61"/>
        <v>12.493633692458374</v>
      </c>
      <c r="AD156" s="13">
        <f t="shared" si="65"/>
        <v>12.493633692458374</v>
      </c>
      <c r="AE156" s="13">
        <f t="shared" si="66"/>
        <v>12.493633692458374</v>
      </c>
      <c r="AF156" s="13">
        <f t="shared" si="67"/>
        <v>12.493633692458374</v>
      </c>
      <c r="AG156" s="15">
        <f t="shared" si="70"/>
        <v>12.83589018347692</v>
      </c>
      <c r="AH156" s="15">
        <f t="shared" si="71"/>
        <v>154.03068220172304</v>
      </c>
      <c r="AI156" s="13"/>
    </row>
    <row r="157" spans="1:35" ht="12" customHeight="1" x14ac:dyDescent="0.2">
      <c r="A157" s="58" t="s">
        <v>178</v>
      </c>
      <c r="B157" s="58" t="s">
        <v>274</v>
      </c>
      <c r="C157" s="11">
        <v>35.67</v>
      </c>
      <c r="D157" s="11">
        <v>35.49</v>
      </c>
      <c r="E157" s="11">
        <v>35.49</v>
      </c>
      <c r="F157" s="248">
        <v>17</v>
      </c>
      <c r="G157" s="12">
        <v>428.04</v>
      </c>
      <c r="H157" s="12">
        <v>1319.79</v>
      </c>
      <c r="I157" s="12">
        <v>784.74</v>
      </c>
      <c r="J157" s="12">
        <v>927.42000000000007</v>
      </c>
      <c r="K157" s="12">
        <v>606.3900000000001</v>
      </c>
      <c r="L157" s="12">
        <v>355.08000000000004</v>
      </c>
      <c r="M157" s="13">
        <v>461.37</v>
      </c>
      <c r="N157" s="13">
        <v>567.83999999999992</v>
      </c>
      <c r="O157" s="13">
        <v>70.98</v>
      </c>
      <c r="P157" s="13">
        <v>177.45000000000002</v>
      </c>
      <c r="Q157" s="13">
        <v>603.33000000000004</v>
      </c>
      <c r="R157" s="13">
        <v>603.33000000000004</v>
      </c>
      <c r="S157" s="12">
        <f t="shared" si="68"/>
        <v>6905.7599999999993</v>
      </c>
      <c r="U157" s="13">
        <f t="shared" si="62"/>
        <v>12</v>
      </c>
      <c r="V157" s="13">
        <f t="shared" si="63"/>
        <v>37</v>
      </c>
      <c r="W157" s="13">
        <f t="shared" si="64"/>
        <v>22</v>
      </c>
      <c r="X157" s="13">
        <f t="shared" si="69"/>
        <v>26.131868131868131</v>
      </c>
      <c r="Y157" s="13">
        <f t="shared" si="69"/>
        <v>17.086221470836858</v>
      </c>
      <c r="Z157" s="13">
        <f t="shared" si="69"/>
        <v>10.005071851225697</v>
      </c>
      <c r="AA157" s="13">
        <f t="shared" si="69"/>
        <v>13</v>
      </c>
      <c r="AB157" s="13">
        <f t="shared" si="69"/>
        <v>15.999999999999996</v>
      </c>
      <c r="AC157" s="13">
        <f t="shared" si="61"/>
        <v>2</v>
      </c>
      <c r="AD157" s="13">
        <f t="shared" si="65"/>
        <v>5</v>
      </c>
      <c r="AE157" s="13">
        <f t="shared" si="66"/>
        <v>17</v>
      </c>
      <c r="AF157" s="13">
        <f t="shared" si="67"/>
        <v>17</v>
      </c>
      <c r="AG157" s="15">
        <f t="shared" si="70"/>
        <v>16.185263454494223</v>
      </c>
      <c r="AH157" s="15">
        <f t="shared" si="71"/>
        <v>194.22316145393069</v>
      </c>
      <c r="AI157" s="25"/>
    </row>
    <row r="158" spans="1:35" ht="12" customHeight="1" x14ac:dyDescent="0.2">
      <c r="A158" s="1" t="s">
        <v>844</v>
      </c>
      <c r="B158" s="1" t="s">
        <v>274</v>
      </c>
      <c r="C158" s="11">
        <v>35.67</v>
      </c>
      <c r="D158" s="11">
        <v>35.49</v>
      </c>
      <c r="E158" s="11">
        <v>35.49</v>
      </c>
      <c r="F158" s="248">
        <v>17</v>
      </c>
      <c r="G158" s="12">
        <v>0</v>
      </c>
      <c r="H158" s="12">
        <v>0</v>
      </c>
      <c r="I158" s="12">
        <v>0</v>
      </c>
      <c r="J158" s="12">
        <v>0</v>
      </c>
      <c r="K158" s="12">
        <v>0</v>
      </c>
      <c r="L158" s="12">
        <v>0</v>
      </c>
      <c r="M158" s="13">
        <v>0</v>
      </c>
      <c r="N158" s="13">
        <v>0</v>
      </c>
      <c r="O158" s="13">
        <v>0</v>
      </c>
      <c r="P158" s="13">
        <v>0</v>
      </c>
      <c r="Q158" s="13">
        <v>0</v>
      </c>
      <c r="R158" s="13">
        <v>0</v>
      </c>
      <c r="S158" s="12">
        <f t="shared" si="68"/>
        <v>0</v>
      </c>
      <c r="U158" s="13">
        <f t="shared" si="62"/>
        <v>0</v>
      </c>
      <c r="V158" s="13">
        <f t="shared" si="63"/>
        <v>0</v>
      </c>
      <c r="W158" s="13">
        <f t="shared" si="64"/>
        <v>0</v>
      </c>
      <c r="X158" s="13">
        <f t="shared" si="69"/>
        <v>0</v>
      </c>
      <c r="Y158" s="13">
        <f t="shared" si="69"/>
        <v>0</v>
      </c>
      <c r="Z158" s="13">
        <f t="shared" si="69"/>
        <v>0</v>
      </c>
      <c r="AA158" s="13">
        <f t="shared" si="69"/>
        <v>0</v>
      </c>
      <c r="AB158" s="13">
        <f t="shared" si="69"/>
        <v>0</v>
      </c>
      <c r="AC158" s="13">
        <f t="shared" si="61"/>
        <v>0</v>
      </c>
      <c r="AD158" s="13">
        <f t="shared" si="65"/>
        <v>0</v>
      </c>
      <c r="AE158" s="13">
        <f t="shared" si="66"/>
        <v>0</v>
      </c>
      <c r="AF158" s="13">
        <f t="shared" si="67"/>
        <v>0</v>
      </c>
      <c r="AG158" s="15">
        <f t="shared" si="70"/>
        <v>0</v>
      </c>
      <c r="AH158" s="15">
        <f t="shared" si="71"/>
        <v>0</v>
      </c>
      <c r="AI158" s="25"/>
    </row>
    <row r="159" spans="1:35" ht="12.75" x14ac:dyDescent="0.2">
      <c r="A159" s="58" t="s">
        <v>180</v>
      </c>
      <c r="B159" s="58" t="s">
        <v>276</v>
      </c>
      <c r="C159" s="11">
        <v>13.63</v>
      </c>
      <c r="D159" s="11">
        <v>13.56</v>
      </c>
      <c r="E159" s="11">
        <v>13.56</v>
      </c>
      <c r="F159" s="248">
        <v>35</v>
      </c>
      <c r="G159" s="12">
        <v>14237.810000000001</v>
      </c>
      <c r="H159" s="12">
        <v>14630.910000000002</v>
      </c>
      <c r="I159" s="12">
        <v>14605.580000000002</v>
      </c>
      <c r="J159" s="12">
        <v>13557.18</v>
      </c>
      <c r="K159" s="12">
        <v>12201.659999999998</v>
      </c>
      <c r="L159" s="12">
        <v>11291.55</v>
      </c>
      <c r="M159" s="13">
        <v>10997.91</v>
      </c>
      <c r="N159" s="13">
        <v>10924.279999999999</v>
      </c>
      <c r="O159" s="13">
        <v>10931.919999999998</v>
      </c>
      <c r="P159" s="13">
        <v>10910.67</v>
      </c>
      <c r="Q159" s="13">
        <v>10875.56</v>
      </c>
      <c r="R159" s="13">
        <v>10828.960000000001</v>
      </c>
      <c r="S159" s="12">
        <f t="shared" si="68"/>
        <v>145993.99</v>
      </c>
      <c r="U159" s="13">
        <f t="shared" si="62"/>
        <v>1044.5935436537052</v>
      </c>
      <c r="V159" s="13">
        <f t="shared" si="63"/>
        <v>1073.4343360234777</v>
      </c>
      <c r="W159" s="13">
        <f t="shared" si="64"/>
        <v>1071.5759354365371</v>
      </c>
      <c r="X159" s="13">
        <f t="shared" ref="X159:X183" si="72">J159/$D159</f>
        <v>999.79203539823004</v>
      </c>
      <c r="Y159" s="13">
        <f t="shared" ref="Y159:Y183" si="73">K159/$D159</f>
        <v>899.82743362831843</v>
      </c>
      <c r="Z159" s="13">
        <f t="shared" ref="Z159:Z183" si="74">L159/$D159</f>
        <v>832.71017699115032</v>
      </c>
      <c r="AA159" s="13">
        <f t="shared" ref="AA159:AA183" si="75">M159/$D159</f>
        <v>811.05530973451323</v>
      </c>
      <c r="AB159" s="13">
        <f t="shared" ref="AB159:AB183" si="76">N159/$D159</f>
        <v>805.6253687315633</v>
      </c>
      <c r="AC159" s="13">
        <f t="shared" si="61"/>
        <v>806.18879056047183</v>
      </c>
      <c r="AD159" s="13">
        <f t="shared" si="65"/>
        <v>804.62168141592917</v>
      </c>
      <c r="AE159" s="13">
        <f t="shared" si="66"/>
        <v>802.03244837758109</v>
      </c>
      <c r="AF159" s="13">
        <f t="shared" si="67"/>
        <v>798.59587020648974</v>
      </c>
      <c r="AG159" s="15">
        <f t="shared" si="70"/>
        <v>895.83774417983034</v>
      </c>
      <c r="AH159" s="15">
        <f t="shared" si="71"/>
        <v>10750.052930157965</v>
      </c>
      <c r="AI159" s="25"/>
    </row>
    <row r="160" spans="1:35" ht="12.75" x14ac:dyDescent="0.2">
      <c r="A160" s="58" t="s">
        <v>181</v>
      </c>
      <c r="B160" s="58" t="s">
        <v>277</v>
      </c>
      <c r="C160" s="11">
        <v>15.41</v>
      </c>
      <c r="D160" s="11">
        <v>15.33</v>
      </c>
      <c r="E160" s="11">
        <v>15.33</v>
      </c>
      <c r="F160" s="248">
        <v>35</v>
      </c>
      <c r="G160" s="12">
        <v>4958.41</v>
      </c>
      <c r="H160" s="12">
        <v>4978.2699999999995</v>
      </c>
      <c r="I160" s="12">
        <v>4959.92</v>
      </c>
      <c r="J160" s="12">
        <v>4617.7899999999991</v>
      </c>
      <c r="K160" s="12">
        <v>4274.1399999999994</v>
      </c>
      <c r="L160" s="12">
        <v>4036.15</v>
      </c>
      <c r="M160" s="13">
        <v>4057.35</v>
      </c>
      <c r="N160" s="13">
        <v>4049.68</v>
      </c>
      <c r="O160" s="13">
        <v>4079.8199999999993</v>
      </c>
      <c r="P160" s="13">
        <v>4056.8299999999995</v>
      </c>
      <c r="Q160" s="13">
        <v>4050.6999999999994</v>
      </c>
      <c r="R160" s="13">
        <v>4023.0699999999997</v>
      </c>
      <c r="S160" s="12">
        <f t="shared" si="68"/>
        <v>52142.13</v>
      </c>
      <c r="U160" s="13">
        <f t="shared" si="62"/>
        <v>321.76573653471769</v>
      </c>
      <c r="V160" s="13">
        <f t="shared" si="63"/>
        <v>323.05451005840359</v>
      </c>
      <c r="W160" s="13">
        <f t="shared" si="64"/>
        <v>321.8637248539909</v>
      </c>
      <c r="X160" s="13">
        <f t="shared" si="72"/>
        <v>301.22570123939983</v>
      </c>
      <c r="Y160" s="13">
        <f t="shared" si="73"/>
        <v>278.80887149380294</v>
      </c>
      <c r="Z160" s="13">
        <f t="shared" si="74"/>
        <v>263.28440965427268</v>
      </c>
      <c r="AA160" s="13">
        <f t="shared" si="75"/>
        <v>264.66731898238748</v>
      </c>
      <c r="AB160" s="13">
        <f t="shared" si="76"/>
        <v>264.16699282452709</v>
      </c>
      <c r="AC160" s="13">
        <f t="shared" si="61"/>
        <v>266.13307240704495</v>
      </c>
      <c r="AD160" s="13">
        <f t="shared" si="65"/>
        <v>264.63339856490541</v>
      </c>
      <c r="AE160" s="13">
        <f t="shared" si="66"/>
        <v>264.23352902804953</v>
      </c>
      <c r="AF160" s="13">
        <f t="shared" si="67"/>
        <v>262.43118069145464</v>
      </c>
      <c r="AG160" s="15">
        <f t="shared" si="70"/>
        <v>283.02237052774632</v>
      </c>
      <c r="AH160" s="15">
        <f t="shared" si="71"/>
        <v>3396.268446332956</v>
      </c>
      <c r="AI160" s="25"/>
    </row>
    <row r="161" spans="1:35" ht="12.75" x14ac:dyDescent="0.2">
      <c r="A161" s="58" t="s">
        <v>182</v>
      </c>
      <c r="B161" s="58" t="s">
        <v>278</v>
      </c>
      <c r="C161" s="11">
        <v>16.579999999999998</v>
      </c>
      <c r="D161" s="11">
        <v>16.5</v>
      </c>
      <c r="E161" s="11">
        <v>16.5</v>
      </c>
      <c r="F161" s="248">
        <v>35</v>
      </c>
      <c r="G161" s="12">
        <v>15619.38</v>
      </c>
      <c r="H161" s="12">
        <v>15781.67</v>
      </c>
      <c r="I161" s="12">
        <v>16326.219999999998</v>
      </c>
      <c r="J161" s="12">
        <v>15622.399999999998</v>
      </c>
      <c r="K161" s="12">
        <v>14707.39</v>
      </c>
      <c r="L161" s="12">
        <v>13933.98</v>
      </c>
      <c r="M161" s="13">
        <v>13614.71</v>
      </c>
      <c r="N161" s="13">
        <v>13452.73</v>
      </c>
      <c r="O161" s="13">
        <v>13346.310000000001</v>
      </c>
      <c r="P161" s="13">
        <v>13310.279999999999</v>
      </c>
      <c r="Q161" s="13">
        <v>13347.95</v>
      </c>
      <c r="R161" s="13">
        <v>13332.830000000002</v>
      </c>
      <c r="S161" s="12">
        <f t="shared" si="68"/>
        <v>172395.85000000003</v>
      </c>
      <c r="U161" s="13">
        <f t="shared" si="62"/>
        <v>942.06151990349827</v>
      </c>
      <c r="V161" s="13">
        <f t="shared" si="63"/>
        <v>951.84981905910752</v>
      </c>
      <c r="W161" s="13">
        <f t="shared" si="64"/>
        <v>984.69360675512667</v>
      </c>
      <c r="X161" s="13">
        <f t="shared" si="72"/>
        <v>946.81212121212104</v>
      </c>
      <c r="Y161" s="13">
        <f t="shared" si="73"/>
        <v>891.35696969696971</v>
      </c>
      <c r="Z161" s="13">
        <f t="shared" si="74"/>
        <v>844.48363636363638</v>
      </c>
      <c r="AA161" s="13">
        <f t="shared" si="75"/>
        <v>825.13393939393939</v>
      </c>
      <c r="AB161" s="13">
        <f t="shared" si="76"/>
        <v>815.31696969696964</v>
      </c>
      <c r="AC161" s="13">
        <f t="shared" si="61"/>
        <v>808.86727272727285</v>
      </c>
      <c r="AD161" s="13">
        <f t="shared" si="65"/>
        <v>806.68363636363631</v>
      </c>
      <c r="AE161" s="13">
        <f t="shared" si="66"/>
        <v>808.9666666666667</v>
      </c>
      <c r="AF161" s="13">
        <f t="shared" si="67"/>
        <v>808.0503030303031</v>
      </c>
      <c r="AG161" s="15">
        <f t="shared" si="70"/>
        <v>869.52303840577054</v>
      </c>
      <c r="AH161" s="15">
        <f t="shared" si="71"/>
        <v>10434.276460869247</v>
      </c>
      <c r="AI161" s="25"/>
    </row>
    <row r="162" spans="1:35" ht="12.75" x14ac:dyDescent="0.2">
      <c r="A162" s="58" t="s">
        <v>183</v>
      </c>
      <c r="B162" s="58" t="s">
        <v>279</v>
      </c>
      <c r="C162" s="11">
        <v>17.77</v>
      </c>
      <c r="D162" s="11">
        <v>17.68</v>
      </c>
      <c r="E162" s="11">
        <v>17.68</v>
      </c>
      <c r="F162" s="248">
        <v>35</v>
      </c>
      <c r="G162" s="12">
        <v>5377.4699999999993</v>
      </c>
      <c r="H162" s="12">
        <v>5416.28</v>
      </c>
      <c r="I162" s="12">
        <v>5459.49</v>
      </c>
      <c r="J162" s="12">
        <v>5445.9</v>
      </c>
      <c r="K162" s="12">
        <v>5470.16</v>
      </c>
      <c r="L162" s="12">
        <v>5516.4500000000007</v>
      </c>
      <c r="M162" s="13">
        <v>5541.21</v>
      </c>
      <c r="N162" s="13">
        <v>5604.2599999999984</v>
      </c>
      <c r="O162" s="13">
        <v>5533.8399999999992</v>
      </c>
      <c r="P162" s="13">
        <v>5533.2499999999991</v>
      </c>
      <c r="Q162" s="13">
        <v>5553.9499999999989</v>
      </c>
      <c r="R162" s="13">
        <v>5599.2499999999991</v>
      </c>
      <c r="S162" s="12">
        <f t="shared" si="68"/>
        <v>66051.509999999995</v>
      </c>
      <c r="U162" s="13">
        <f t="shared" si="62"/>
        <v>302.6150815981992</v>
      </c>
      <c r="V162" s="13">
        <f t="shared" si="63"/>
        <v>304.79909960607768</v>
      </c>
      <c r="W162" s="13">
        <f t="shared" si="64"/>
        <v>307.23072594259986</v>
      </c>
      <c r="X162" s="13">
        <f t="shared" si="72"/>
        <v>308.02601809954751</v>
      </c>
      <c r="Y162" s="13">
        <f t="shared" si="73"/>
        <v>309.39819004524884</v>
      </c>
      <c r="Z162" s="13">
        <f t="shared" si="74"/>
        <v>312.01640271493216</v>
      </c>
      <c r="AA162" s="13">
        <f t="shared" si="75"/>
        <v>313.41685520361989</v>
      </c>
      <c r="AB162" s="13">
        <f t="shared" si="76"/>
        <v>316.98303167420806</v>
      </c>
      <c r="AC162" s="13">
        <f t="shared" si="61"/>
        <v>312.99999999999994</v>
      </c>
      <c r="AD162" s="13">
        <f t="shared" si="65"/>
        <v>312.96662895927597</v>
      </c>
      <c r="AE162" s="13">
        <f t="shared" si="66"/>
        <v>314.13744343891398</v>
      </c>
      <c r="AF162" s="13">
        <f t="shared" si="67"/>
        <v>316.69966063348414</v>
      </c>
      <c r="AG162" s="15">
        <f t="shared" si="70"/>
        <v>310.94076149300901</v>
      </c>
      <c r="AH162" s="15">
        <f t="shared" si="71"/>
        <v>3731.2891379161078</v>
      </c>
      <c r="AI162" s="25"/>
    </row>
    <row r="163" spans="1:35" ht="12.75" x14ac:dyDescent="0.2">
      <c r="A163" s="58" t="s">
        <v>184</v>
      </c>
      <c r="B163" s="58" t="s">
        <v>280</v>
      </c>
      <c r="C163" s="11">
        <v>18.95</v>
      </c>
      <c r="D163" s="11">
        <v>18.850000000000001</v>
      </c>
      <c r="E163" s="11">
        <v>18.850000000000001</v>
      </c>
      <c r="F163" s="248">
        <v>35</v>
      </c>
      <c r="G163" s="12">
        <v>7576.18</v>
      </c>
      <c r="H163" s="12">
        <v>7605.25</v>
      </c>
      <c r="I163" s="12">
        <v>7579.64</v>
      </c>
      <c r="J163" s="12">
        <v>7659.58</v>
      </c>
      <c r="K163" s="12">
        <v>7717.68</v>
      </c>
      <c r="L163" s="12">
        <v>7729.1299999999992</v>
      </c>
      <c r="M163" s="13">
        <v>7720.0199999999995</v>
      </c>
      <c r="N163" s="13">
        <v>7729.77</v>
      </c>
      <c r="O163" s="13">
        <v>7835.95</v>
      </c>
      <c r="P163" s="13">
        <v>7860.4499999999989</v>
      </c>
      <c r="Q163" s="13">
        <v>7889.3499999999985</v>
      </c>
      <c r="R163" s="13">
        <v>8088.2199999999993</v>
      </c>
      <c r="S163" s="12">
        <f t="shared" si="68"/>
        <v>92991.22</v>
      </c>
      <c r="U163" s="13">
        <f t="shared" si="62"/>
        <v>399.79841688654358</v>
      </c>
      <c r="V163" s="13">
        <f t="shared" si="63"/>
        <v>401.33245382585756</v>
      </c>
      <c r="W163" s="13">
        <f t="shared" si="64"/>
        <v>399.98100263852245</v>
      </c>
      <c r="X163" s="13">
        <f t="shared" si="72"/>
        <v>406.3437665782493</v>
      </c>
      <c r="Y163" s="13">
        <f t="shared" si="73"/>
        <v>409.4259946949602</v>
      </c>
      <c r="Z163" s="13">
        <f t="shared" si="74"/>
        <v>410.03342175066308</v>
      </c>
      <c r="AA163" s="13">
        <f t="shared" si="75"/>
        <v>409.55013262599465</v>
      </c>
      <c r="AB163" s="13">
        <f t="shared" si="76"/>
        <v>410.06737400530506</v>
      </c>
      <c r="AC163" s="13">
        <f t="shared" si="61"/>
        <v>415.70026525198932</v>
      </c>
      <c r="AD163" s="13">
        <f t="shared" si="65"/>
        <v>416.99999999999989</v>
      </c>
      <c r="AE163" s="13">
        <f t="shared" si="66"/>
        <v>418.53315649867363</v>
      </c>
      <c r="AF163" s="13">
        <f t="shared" si="67"/>
        <v>429.08328912466834</v>
      </c>
      <c r="AG163" s="15">
        <f t="shared" si="70"/>
        <v>410.57077282345222</v>
      </c>
      <c r="AH163" s="15">
        <f t="shared" si="71"/>
        <v>4926.8492738814266</v>
      </c>
      <c r="AI163" s="25"/>
    </row>
    <row r="164" spans="1:35" ht="12.75" x14ac:dyDescent="0.2">
      <c r="A164" s="58" t="s">
        <v>185</v>
      </c>
      <c r="B164" s="58" t="s">
        <v>281</v>
      </c>
      <c r="C164" s="11">
        <v>20.14</v>
      </c>
      <c r="D164" s="11">
        <v>20.04</v>
      </c>
      <c r="E164" s="11">
        <v>20.04</v>
      </c>
      <c r="F164" s="248">
        <v>35</v>
      </c>
      <c r="G164" s="12">
        <v>40.28</v>
      </c>
      <c r="H164" s="12">
        <v>40.28</v>
      </c>
      <c r="I164" s="12">
        <v>40.28</v>
      </c>
      <c r="J164" s="12">
        <v>40.28</v>
      </c>
      <c r="K164" s="12">
        <v>40.28</v>
      </c>
      <c r="L164" s="12">
        <v>40.08</v>
      </c>
      <c r="M164" s="13">
        <v>40.08</v>
      </c>
      <c r="N164" s="13">
        <v>40.08</v>
      </c>
      <c r="O164" s="13">
        <v>40.08</v>
      </c>
      <c r="P164" s="13">
        <v>40.08</v>
      </c>
      <c r="Q164" s="13">
        <v>40.08</v>
      </c>
      <c r="R164" s="13">
        <v>40.08</v>
      </c>
      <c r="S164" s="12">
        <f t="shared" si="68"/>
        <v>481.95999999999992</v>
      </c>
      <c r="U164" s="13">
        <f t="shared" si="62"/>
        <v>2</v>
      </c>
      <c r="V164" s="13">
        <f t="shared" si="63"/>
        <v>2</v>
      </c>
      <c r="W164" s="13">
        <f t="shared" si="64"/>
        <v>2</v>
      </c>
      <c r="X164" s="13">
        <f t="shared" si="72"/>
        <v>2.0099800399201597</v>
      </c>
      <c r="Y164" s="13">
        <f t="shared" si="73"/>
        <v>2.0099800399201597</v>
      </c>
      <c r="Z164" s="13">
        <f t="shared" si="74"/>
        <v>2</v>
      </c>
      <c r="AA164" s="13">
        <f t="shared" si="75"/>
        <v>2</v>
      </c>
      <c r="AB164" s="13">
        <f t="shared" si="76"/>
        <v>2</v>
      </c>
      <c r="AC164" s="13">
        <f t="shared" si="61"/>
        <v>2</v>
      </c>
      <c r="AD164" s="13">
        <f t="shared" si="65"/>
        <v>2</v>
      </c>
      <c r="AE164" s="13">
        <f t="shared" si="66"/>
        <v>2</v>
      </c>
      <c r="AF164" s="13">
        <f t="shared" si="67"/>
        <v>2</v>
      </c>
      <c r="AG164" s="15">
        <f t="shared" si="70"/>
        <v>2.0016633399866932</v>
      </c>
      <c r="AH164" s="15">
        <f t="shared" si="71"/>
        <v>24.01996007984032</v>
      </c>
      <c r="AI164" s="25"/>
    </row>
    <row r="165" spans="1:35" ht="12.75" x14ac:dyDescent="0.2">
      <c r="A165" s="58" t="s">
        <v>186</v>
      </c>
      <c r="B165" s="58" t="s">
        <v>282</v>
      </c>
      <c r="C165" s="11">
        <v>21.32</v>
      </c>
      <c r="D165" s="11">
        <v>21.21</v>
      </c>
      <c r="E165" s="11">
        <v>21.21</v>
      </c>
      <c r="F165" s="248">
        <v>35</v>
      </c>
      <c r="G165" s="12">
        <v>2765.8999999999996</v>
      </c>
      <c r="H165" s="12">
        <v>2782.26</v>
      </c>
      <c r="I165" s="12">
        <v>2790.07</v>
      </c>
      <c r="J165" s="12">
        <v>2729.66</v>
      </c>
      <c r="K165" s="12">
        <v>2690.5699999999997</v>
      </c>
      <c r="L165" s="12">
        <v>2714.88</v>
      </c>
      <c r="M165" s="13">
        <v>2694.38</v>
      </c>
      <c r="N165" s="13">
        <v>2688.0099999999998</v>
      </c>
      <c r="O165" s="13">
        <v>2693.67</v>
      </c>
      <c r="P165" s="13">
        <v>2693.67</v>
      </c>
      <c r="Q165" s="13">
        <v>2733.2599999999998</v>
      </c>
      <c r="R165" s="13">
        <v>2714.88</v>
      </c>
      <c r="S165" s="12">
        <f t="shared" si="68"/>
        <v>32691.21</v>
      </c>
      <c r="U165" s="13">
        <f t="shared" si="62"/>
        <v>129.73264540337709</v>
      </c>
      <c r="V165" s="13">
        <f t="shared" si="63"/>
        <v>130.5</v>
      </c>
      <c r="W165" s="13">
        <f t="shared" si="64"/>
        <v>130.86632270168857</v>
      </c>
      <c r="X165" s="13">
        <f t="shared" si="72"/>
        <v>128.69684111268268</v>
      </c>
      <c r="Y165" s="13">
        <f t="shared" si="73"/>
        <v>126.85384252710983</v>
      </c>
      <c r="Z165" s="13">
        <f t="shared" si="74"/>
        <v>128</v>
      </c>
      <c r="AA165" s="13">
        <f t="shared" si="75"/>
        <v>127.03347477604903</v>
      </c>
      <c r="AB165" s="13">
        <f t="shared" si="76"/>
        <v>126.73314474304571</v>
      </c>
      <c r="AC165" s="13">
        <f t="shared" si="61"/>
        <v>127</v>
      </c>
      <c r="AD165" s="13">
        <f t="shared" si="65"/>
        <v>127</v>
      </c>
      <c r="AE165" s="13">
        <f t="shared" si="66"/>
        <v>128.86657237152286</v>
      </c>
      <c r="AF165" s="13">
        <f t="shared" si="67"/>
        <v>128</v>
      </c>
      <c r="AG165" s="15">
        <f t="shared" si="70"/>
        <v>128.2735703029563</v>
      </c>
      <c r="AH165" s="15">
        <f t="shared" si="71"/>
        <v>1539.2828436354757</v>
      </c>
      <c r="AI165" s="25"/>
    </row>
    <row r="166" spans="1:35" ht="12.75" x14ac:dyDescent="0.2">
      <c r="A166" s="58" t="s">
        <v>187</v>
      </c>
      <c r="B166" s="58" t="s">
        <v>283</v>
      </c>
      <c r="C166" s="11">
        <v>24.87</v>
      </c>
      <c r="D166" s="11">
        <v>24.75</v>
      </c>
      <c r="E166" s="11">
        <v>24.75</v>
      </c>
      <c r="F166" s="248">
        <v>35</v>
      </c>
      <c r="G166" s="12">
        <v>2048.4499999999998</v>
      </c>
      <c r="H166" s="12">
        <v>2026.8999999999999</v>
      </c>
      <c r="I166" s="12">
        <v>2002.03</v>
      </c>
      <c r="J166" s="12">
        <v>1945.66</v>
      </c>
      <c r="K166" s="12">
        <v>2021.91</v>
      </c>
      <c r="L166" s="12">
        <v>2075.6999999999998</v>
      </c>
      <c r="M166" s="13">
        <v>2072.4</v>
      </c>
      <c r="N166" s="13">
        <v>2027.85</v>
      </c>
      <c r="O166" s="13">
        <v>2004.75</v>
      </c>
      <c r="P166" s="13">
        <v>2079</v>
      </c>
      <c r="Q166" s="13">
        <v>2083.9499999999998</v>
      </c>
      <c r="R166" s="13">
        <v>2128.5</v>
      </c>
      <c r="S166" s="12">
        <f t="shared" si="68"/>
        <v>24517.1</v>
      </c>
      <c r="U166" s="13">
        <f t="shared" si="62"/>
        <v>82.366304784881379</v>
      </c>
      <c r="V166" s="13">
        <f t="shared" si="63"/>
        <v>81.49979895456373</v>
      </c>
      <c r="W166" s="13">
        <f t="shared" si="64"/>
        <v>80.49979895456373</v>
      </c>
      <c r="X166" s="13">
        <f t="shared" si="72"/>
        <v>78.612525252525259</v>
      </c>
      <c r="Y166" s="13">
        <f t="shared" si="73"/>
        <v>81.693333333333342</v>
      </c>
      <c r="Z166" s="13">
        <f t="shared" si="74"/>
        <v>83.86666666666666</v>
      </c>
      <c r="AA166" s="13">
        <f t="shared" si="75"/>
        <v>83.733333333333334</v>
      </c>
      <c r="AB166" s="13">
        <f t="shared" si="76"/>
        <v>81.933333333333323</v>
      </c>
      <c r="AC166" s="13">
        <f t="shared" si="61"/>
        <v>81</v>
      </c>
      <c r="AD166" s="13">
        <f t="shared" si="65"/>
        <v>84</v>
      </c>
      <c r="AE166" s="13">
        <f t="shared" si="66"/>
        <v>84.199999999999989</v>
      </c>
      <c r="AF166" s="13">
        <f t="shared" si="67"/>
        <v>86</v>
      </c>
      <c r="AG166" s="15">
        <f t="shared" si="70"/>
        <v>82.450424551100056</v>
      </c>
      <c r="AH166" s="15">
        <f t="shared" si="71"/>
        <v>989.40509461320062</v>
      </c>
      <c r="AI166" s="25"/>
    </row>
    <row r="167" spans="1:35" ht="12.75" x14ac:dyDescent="0.2">
      <c r="A167" s="58" t="s">
        <v>188</v>
      </c>
      <c r="B167" s="58" t="s">
        <v>284</v>
      </c>
      <c r="C167" s="11">
        <v>15.41</v>
      </c>
      <c r="D167" s="11">
        <v>15.33</v>
      </c>
      <c r="E167" s="11">
        <v>15.33</v>
      </c>
      <c r="F167" s="248">
        <v>35</v>
      </c>
      <c r="G167" s="12">
        <v>0</v>
      </c>
      <c r="H167" s="12">
        <v>0</v>
      </c>
      <c r="I167" s="12">
        <v>0</v>
      </c>
      <c r="J167" s="12">
        <v>0</v>
      </c>
      <c r="K167" s="12">
        <v>0</v>
      </c>
      <c r="L167" s="12">
        <v>0</v>
      </c>
      <c r="M167" s="13">
        <v>0</v>
      </c>
      <c r="N167" s="13">
        <v>0</v>
      </c>
      <c r="O167" s="13">
        <v>0</v>
      </c>
      <c r="P167" s="13">
        <v>0</v>
      </c>
      <c r="Q167" s="13">
        <v>0</v>
      </c>
      <c r="R167" s="13">
        <v>0</v>
      </c>
      <c r="S167" s="12">
        <f t="shared" si="68"/>
        <v>0</v>
      </c>
      <c r="U167" s="13">
        <f t="shared" si="62"/>
        <v>0</v>
      </c>
      <c r="V167" s="13">
        <f t="shared" si="63"/>
        <v>0</v>
      </c>
      <c r="W167" s="13">
        <f t="shared" si="64"/>
        <v>0</v>
      </c>
      <c r="X167" s="13">
        <f t="shared" si="72"/>
        <v>0</v>
      </c>
      <c r="Y167" s="13">
        <f t="shared" si="73"/>
        <v>0</v>
      </c>
      <c r="Z167" s="13">
        <f t="shared" si="74"/>
        <v>0</v>
      </c>
      <c r="AA167" s="13">
        <f t="shared" si="75"/>
        <v>0</v>
      </c>
      <c r="AB167" s="13">
        <f t="shared" si="76"/>
        <v>0</v>
      </c>
      <c r="AC167" s="13">
        <f t="shared" si="61"/>
        <v>0</v>
      </c>
      <c r="AD167" s="13">
        <f t="shared" si="65"/>
        <v>0</v>
      </c>
      <c r="AE167" s="13">
        <f t="shared" si="66"/>
        <v>0</v>
      </c>
      <c r="AF167" s="13">
        <f t="shared" si="67"/>
        <v>0</v>
      </c>
      <c r="AG167" s="15">
        <f t="shared" si="70"/>
        <v>0</v>
      </c>
      <c r="AH167" s="15">
        <f t="shared" si="71"/>
        <v>0</v>
      </c>
      <c r="AI167" s="25"/>
    </row>
    <row r="168" spans="1:35" ht="12.75" x14ac:dyDescent="0.2">
      <c r="A168" s="58" t="s">
        <v>189</v>
      </c>
      <c r="B168" s="58" t="s">
        <v>285</v>
      </c>
      <c r="C168" s="11">
        <v>16.579999999999998</v>
      </c>
      <c r="D168" s="11">
        <v>16.5</v>
      </c>
      <c r="E168" s="11">
        <v>16.5</v>
      </c>
      <c r="F168" s="248">
        <v>35</v>
      </c>
      <c r="G168" s="12">
        <v>0</v>
      </c>
      <c r="H168" s="12">
        <v>0</v>
      </c>
      <c r="I168" s="12">
        <v>0</v>
      </c>
      <c r="J168" s="12">
        <v>0</v>
      </c>
      <c r="K168" s="12">
        <v>0</v>
      </c>
      <c r="L168" s="12">
        <v>0</v>
      </c>
      <c r="M168" s="13">
        <v>0</v>
      </c>
      <c r="N168" s="13">
        <v>0</v>
      </c>
      <c r="O168" s="13">
        <v>0</v>
      </c>
      <c r="P168" s="13">
        <v>0</v>
      </c>
      <c r="Q168" s="13">
        <v>0</v>
      </c>
      <c r="R168" s="13">
        <v>0</v>
      </c>
      <c r="S168" s="12">
        <f t="shared" si="68"/>
        <v>0</v>
      </c>
      <c r="U168" s="13">
        <f t="shared" si="62"/>
        <v>0</v>
      </c>
      <c r="V168" s="13">
        <f t="shared" si="63"/>
        <v>0</v>
      </c>
      <c r="W168" s="13">
        <f t="shared" si="64"/>
        <v>0</v>
      </c>
      <c r="X168" s="13">
        <f t="shared" si="72"/>
        <v>0</v>
      </c>
      <c r="Y168" s="13">
        <f t="shared" si="73"/>
        <v>0</v>
      </c>
      <c r="Z168" s="13">
        <f t="shared" si="74"/>
        <v>0</v>
      </c>
      <c r="AA168" s="13">
        <f t="shared" si="75"/>
        <v>0</v>
      </c>
      <c r="AB168" s="13">
        <f t="shared" si="76"/>
        <v>0</v>
      </c>
      <c r="AC168" s="13">
        <f t="shared" si="61"/>
        <v>0</v>
      </c>
      <c r="AD168" s="13">
        <f t="shared" si="65"/>
        <v>0</v>
      </c>
      <c r="AE168" s="13">
        <f t="shared" si="66"/>
        <v>0</v>
      </c>
      <c r="AF168" s="13">
        <f t="shared" si="67"/>
        <v>0</v>
      </c>
      <c r="AG168" s="15">
        <f t="shared" si="70"/>
        <v>0</v>
      </c>
      <c r="AH168" s="15">
        <f t="shared" si="71"/>
        <v>0</v>
      </c>
      <c r="AI168" s="25"/>
    </row>
    <row r="169" spans="1:35" ht="12.75" x14ac:dyDescent="0.2">
      <c r="A169" s="58" t="s">
        <v>190</v>
      </c>
      <c r="B169" s="58" t="s">
        <v>286</v>
      </c>
      <c r="C169" s="11">
        <v>17.77</v>
      </c>
      <c r="D169" s="11">
        <v>17.68</v>
      </c>
      <c r="E169" s="11">
        <v>17.68</v>
      </c>
      <c r="F169" s="248">
        <v>35</v>
      </c>
      <c r="G169" s="12">
        <v>17.77</v>
      </c>
      <c r="H169" s="12">
        <v>17.77</v>
      </c>
      <c r="I169" s="12">
        <v>8.8800000000000008</v>
      </c>
      <c r="J169" s="12">
        <v>0</v>
      </c>
      <c r="K169" s="12">
        <v>0</v>
      </c>
      <c r="L169" s="12">
        <v>0</v>
      </c>
      <c r="M169" s="13">
        <v>0</v>
      </c>
      <c r="N169" s="13">
        <v>17.68</v>
      </c>
      <c r="O169" s="13">
        <v>17.68</v>
      </c>
      <c r="P169" s="13">
        <v>17.68</v>
      </c>
      <c r="Q169" s="13">
        <v>17.68</v>
      </c>
      <c r="R169" s="13">
        <v>17.68</v>
      </c>
      <c r="S169" s="12">
        <f t="shared" si="68"/>
        <v>132.82000000000002</v>
      </c>
      <c r="U169" s="13">
        <f t="shared" si="62"/>
        <v>1</v>
      </c>
      <c r="V169" s="13">
        <f t="shared" si="63"/>
        <v>1</v>
      </c>
      <c r="W169" s="13">
        <f t="shared" si="64"/>
        <v>0.49971862689926849</v>
      </c>
      <c r="X169" s="13">
        <f t="shared" si="72"/>
        <v>0</v>
      </c>
      <c r="Y169" s="13">
        <f t="shared" si="73"/>
        <v>0</v>
      </c>
      <c r="Z169" s="13">
        <f t="shared" si="74"/>
        <v>0</v>
      </c>
      <c r="AA169" s="13">
        <f t="shared" si="75"/>
        <v>0</v>
      </c>
      <c r="AB169" s="13">
        <f t="shared" si="76"/>
        <v>1</v>
      </c>
      <c r="AC169" s="13">
        <f t="shared" si="61"/>
        <v>1</v>
      </c>
      <c r="AD169" s="13">
        <f t="shared" si="65"/>
        <v>1</v>
      </c>
      <c r="AE169" s="13">
        <f t="shared" si="66"/>
        <v>1</v>
      </c>
      <c r="AF169" s="13">
        <f t="shared" si="67"/>
        <v>1</v>
      </c>
      <c r="AG169" s="15">
        <f t="shared" si="70"/>
        <v>0.62497655224160564</v>
      </c>
      <c r="AH169" s="15">
        <f t="shared" si="71"/>
        <v>7.4997186268992682</v>
      </c>
      <c r="AI169" s="25"/>
    </row>
    <row r="170" spans="1:35" ht="12.75" x14ac:dyDescent="0.2">
      <c r="A170" s="58" t="s">
        <v>191</v>
      </c>
      <c r="B170" s="58" t="s">
        <v>287</v>
      </c>
      <c r="C170" s="11">
        <v>13.63</v>
      </c>
      <c r="D170" s="11">
        <v>13.56</v>
      </c>
      <c r="E170" s="11">
        <v>13.56</v>
      </c>
      <c r="F170" s="248">
        <v>35</v>
      </c>
      <c r="G170" s="12">
        <v>15.440000000000001</v>
      </c>
      <c r="H170" s="12">
        <v>13.63</v>
      </c>
      <c r="I170" s="12">
        <v>3.63</v>
      </c>
      <c r="J170" s="12">
        <v>0</v>
      </c>
      <c r="K170" s="12">
        <v>0</v>
      </c>
      <c r="L170" s="12">
        <v>0</v>
      </c>
      <c r="M170" s="13">
        <v>0</v>
      </c>
      <c r="N170" s="13">
        <v>0</v>
      </c>
      <c r="O170" s="13">
        <v>0</v>
      </c>
      <c r="P170" s="13">
        <v>0</v>
      </c>
      <c r="Q170" s="13">
        <v>0</v>
      </c>
      <c r="R170" s="13">
        <v>0</v>
      </c>
      <c r="S170" s="12">
        <f t="shared" si="68"/>
        <v>32.700000000000003</v>
      </c>
      <c r="U170" s="13">
        <f t="shared" si="62"/>
        <v>1.132795304475422</v>
      </c>
      <c r="V170" s="13">
        <f t="shared" si="63"/>
        <v>1</v>
      </c>
      <c r="W170" s="13">
        <f t="shared" si="64"/>
        <v>0.26632428466617752</v>
      </c>
      <c r="X170" s="13">
        <f t="shared" si="72"/>
        <v>0</v>
      </c>
      <c r="Y170" s="13">
        <f t="shared" si="73"/>
        <v>0</v>
      </c>
      <c r="Z170" s="13">
        <f t="shared" si="74"/>
        <v>0</v>
      </c>
      <c r="AA170" s="13">
        <f t="shared" si="75"/>
        <v>0</v>
      </c>
      <c r="AB170" s="13">
        <f t="shared" si="76"/>
        <v>0</v>
      </c>
      <c r="AC170" s="13">
        <f t="shared" si="61"/>
        <v>0</v>
      </c>
      <c r="AD170" s="13">
        <f t="shared" si="65"/>
        <v>0</v>
      </c>
      <c r="AE170" s="13">
        <f t="shared" si="66"/>
        <v>0</v>
      </c>
      <c r="AF170" s="13">
        <f t="shared" si="67"/>
        <v>0</v>
      </c>
      <c r="AG170" s="15">
        <f t="shared" si="70"/>
        <v>0.19992663242846662</v>
      </c>
      <c r="AH170" s="15">
        <f t="shared" si="71"/>
        <v>2.3991195891415993</v>
      </c>
      <c r="AI170" s="25"/>
    </row>
    <row r="171" spans="1:35" ht="12.75" x14ac:dyDescent="0.2">
      <c r="A171" s="58" t="s">
        <v>192</v>
      </c>
      <c r="B171" s="58" t="s">
        <v>288</v>
      </c>
      <c r="C171" s="11">
        <v>15.41</v>
      </c>
      <c r="D171" s="11">
        <v>15.33</v>
      </c>
      <c r="E171" s="11">
        <v>15.33</v>
      </c>
      <c r="F171" s="248">
        <v>35</v>
      </c>
      <c r="G171" s="12">
        <v>15.41</v>
      </c>
      <c r="H171" s="12">
        <v>15.41</v>
      </c>
      <c r="I171" s="12">
        <v>15.41</v>
      </c>
      <c r="J171" s="12">
        <v>15.41</v>
      </c>
      <c r="K171" s="12">
        <v>0</v>
      </c>
      <c r="L171" s="12">
        <v>0</v>
      </c>
      <c r="M171" s="13">
        <v>0</v>
      </c>
      <c r="N171" s="13">
        <v>0</v>
      </c>
      <c r="O171" s="13">
        <v>0</v>
      </c>
      <c r="P171" s="13">
        <v>0</v>
      </c>
      <c r="Q171" s="13">
        <v>0</v>
      </c>
      <c r="R171" s="13">
        <v>0</v>
      </c>
      <c r="S171" s="12">
        <f t="shared" si="68"/>
        <v>61.64</v>
      </c>
      <c r="U171" s="13">
        <f t="shared" si="62"/>
        <v>1</v>
      </c>
      <c r="V171" s="13">
        <f t="shared" si="63"/>
        <v>1</v>
      </c>
      <c r="W171" s="13">
        <f t="shared" si="64"/>
        <v>1</v>
      </c>
      <c r="X171" s="13">
        <f t="shared" si="72"/>
        <v>1.005218525766471</v>
      </c>
      <c r="Y171" s="13">
        <f t="shared" si="73"/>
        <v>0</v>
      </c>
      <c r="Z171" s="13">
        <f t="shared" si="74"/>
        <v>0</v>
      </c>
      <c r="AA171" s="13">
        <f t="shared" si="75"/>
        <v>0</v>
      </c>
      <c r="AB171" s="13">
        <f t="shared" si="76"/>
        <v>0</v>
      </c>
      <c r="AC171" s="13">
        <f t="shared" si="61"/>
        <v>0</v>
      </c>
      <c r="AD171" s="13">
        <f t="shared" si="65"/>
        <v>0</v>
      </c>
      <c r="AE171" s="13">
        <f t="shared" si="66"/>
        <v>0</v>
      </c>
      <c r="AF171" s="13">
        <f t="shared" si="67"/>
        <v>0</v>
      </c>
      <c r="AG171" s="15">
        <f t="shared" si="70"/>
        <v>0.33376821048053928</v>
      </c>
      <c r="AH171" s="15">
        <f t="shared" si="71"/>
        <v>4.0052185257664714</v>
      </c>
      <c r="AI171" s="25"/>
    </row>
    <row r="172" spans="1:35" ht="12.75" x14ac:dyDescent="0.2">
      <c r="A172" s="58" t="s">
        <v>193</v>
      </c>
      <c r="B172" s="58" t="s">
        <v>289</v>
      </c>
      <c r="C172" s="11">
        <v>16.579999999999998</v>
      </c>
      <c r="D172" s="11">
        <v>16.5</v>
      </c>
      <c r="E172" s="11">
        <v>16.5</v>
      </c>
      <c r="F172" s="248">
        <v>35</v>
      </c>
      <c r="G172" s="12">
        <v>188.45000000000002</v>
      </c>
      <c r="H172" s="12">
        <v>167.45</v>
      </c>
      <c r="I172" s="12">
        <v>149.22</v>
      </c>
      <c r="J172" s="12">
        <v>109.98</v>
      </c>
      <c r="K172" s="12">
        <v>66.300000000000011</v>
      </c>
      <c r="L172" s="12">
        <v>73.150000000000006</v>
      </c>
      <c r="M172" s="13">
        <v>86.03</v>
      </c>
      <c r="N172" s="13">
        <v>82.5</v>
      </c>
      <c r="O172" s="13">
        <v>115.5</v>
      </c>
      <c r="P172" s="13">
        <v>131.44999999999999</v>
      </c>
      <c r="Q172" s="13">
        <v>138.05000000000001</v>
      </c>
      <c r="R172" s="13">
        <v>125.4</v>
      </c>
      <c r="S172" s="12">
        <f t="shared" si="68"/>
        <v>1433.48</v>
      </c>
      <c r="U172" s="13">
        <f t="shared" si="62"/>
        <v>11.366103739445117</v>
      </c>
      <c r="V172" s="13">
        <f t="shared" si="63"/>
        <v>10.099517490952955</v>
      </c>
      <c r="W172" s="13">
        <f t="shared" si="64"/>
        <v>9</v>
      </c>
      <c r="X172" s="13">
        <f t="shared" si="72"/>
        <v>6.665454545454546</v>
      </c>
      <c r="Y172" s="13">
        <f t="shared" si="73"/>
        <v>4.0181818181818185</v>
      </c>
      <c r="Z172" s="13">
        <f t="shared" si="74"/>
        <v>4.4333333333333336</v>
      </c>
      <c r="AA172" s="13">
        <f t="shared" si="75"/>
        <v>5.2139393939393939</v>
      </c>
      <c r="AB172" s="13">
        <f t="shared" si="76"/>
        <v>5</v>
      </c>
      <c r="AC172" s="13">
        <f t="shared" si="61"/>
        <v>7</v>
      </c>
      <c r="AD172" s="13">
        <f t="shared" si="65"/>
        <v>7.9666666666666659</v>
      </c>
      <c r="AE172" s="13">
        <f t="shared" si="66"/>
        <v>8.3666666666666671</v>
      </c>
      <c r="AF172" s="13">
        <f t="shared" si="67"/>
        <v>7.6000000000000005</v>
      </c>
      <c r="AG172" s="15">
        <f t="shared" si="70"/>
        <v>7.2274886378867054</v>
      </c>
      <c r="AH172" s="15">
        <f t="shared" si="71"/>
        <v>86.729863654640468</v>
      </c>
      <c r="AI172" s="25"/>
    </row>
    <row r="173" spans="1:35" ht="12.75" x14ac:dyDescent="0.2">
      <c r="A173" s="58" t="s">
        <v>195</v>
      </c>
      <c r="B173" s="58" t="s">
        <v>291</v>
      </c>
      <c r="C173" s="11">
        <v>18.95</v>
      </c>
      <c r="D173" s="11">
        <v>18.850000000000001</v>
      </c>
      <c r="E173" s="11">
        <v>18.850000000000001</v>
      </c>
      <c r="F173" s="248">
        <v>35</v>
      </c>
      <c r="G173" s="12">
        <v>18.95</v>
      </c>
      <c r="H173" s="12">
        <v>18.95</v>
      </c>
      <c r="I173" s="12">
        <v>18.95</v>
      </c>
      <c r="J173" s="12">
        <v>18.95</v>
      </c>
      <c r="K173" s="12">
        <v>0</v>
      </c>
      <c r="L173" s="12">
        <v>0</v>
      </c>
      <c r="M173" s="13">
        <v>0</v>
      </c>
      <c r="N173" s="13">
        <v>0</v>
      </c>
      <c r="O173" s="13">
        <v>0</v>
      </c>
      <c r="P173" s="13">
        <v>0</v>
      </c>
      <c r="Q173" s="13">
        <v>0</v>
      </c>
      <c r="R173" s="13">
        <v>0</v>
      </c>
      <c r="S173" s="12">
        <f>SUM(G173:R173)</f>
        <v>75.8</v>
      </c>
      <c r="U173" s="13">
        <f t="shared" si="62"/>
        <v>1</v>
      </c>
      <c r="V173" s="13">
        <f t="shared" si="63"/>
        <v>1</v>
      </c>
      <c r="W173" s="13">
        <f t="shared" si="64"/>
        <v>1</v>
      </c>
      <c r="X173" s="13">
        <f t="shared" si="72"/>
        <v>1.0053050397877983</v>
      </c>
      <c r="Y173" s="13">
        <f t="shared" si="73"/>
        <v>0</v>
      </c>
      <c r="Z173" s="13">
        <f t="shared" si="74"/>
        <v>0</v>
      </c>
      <c r="AA173" s="13">
        <f t="shared" si="75"/>
        <v>0</v>
      </c>
      <c r="AB173" s="13">
        <f t="shared" si="76"/>
        <v>0</v>
      </c>
      <c r="AC173" s="13">
        <f t="shared" si="61"/>
        <v>0</v>
      </c>
      <c r="AD173" s="13">
        <f t="shared" si="65"/>
        <v>0</v>
      </c>
      <c r="AE173" s="13">
        <f t="shared" si="66"/>
        <v>0</v>
      </c>
      <c r="AF173" s="13">
        <f t="shared" si="67"/>
        <v>0</v>
      </c>
      <c r="AG173" s="15">
        <f>IFERROR(AVERAGE(U173:AF173),0)</f>
        <v>0.33377541998231647</v>
      </c>
      <c r="AH173" s="15">
        <f>SUM(U173:AF173)</f>
        <v>4.0053050397877978</v>
      </c>
      <c r="AI173" s="25"/>
    </row>
    <row r="174" spans="1:35" ht="12.75" x14ac:dyDescent="0.2">
      <c r="A174" s="58" t="s">
        <v>196</v>
      </c>
      <c r="B174" s="58" t="s">
        <v>292</v>
      </c>
      <c r="C174" s="11">
        <v>21.32</v>
      </c>
      <c r="D174" s="11">
        <v>21.21</v>
      </c>
      <c r="E174" s="11">
        <v>21.21</v>
      </c>
      <c r="F174" s="248">
        <v>35</v>
      </c>
      <c r="G174" s="12">
        <v>0</v>
      </c>
      <c r="H174" s="12">
        <v>0</v>
      </c>
      <c r="I174" s="12">
        <v>0</v>
      </c>
      <c r="J174" s="12">
        <v>0.71</v>
      </c>
      <c r="K174" s="12">
        <v>5.68</v>
      </c>
      <c r="L174" s="12">
        <v>0</v>
      </c>
      <c r="M174" s="13">
        <v>0</v>
      </c>
      <c r="N174" s="13">
        <v>0</v>
      </c>
      <c r="O174" s="13">
        <v>0</v>
      </c>
      <c r="P174" s="13">
        <v>0</v>
      </c>
      <c r="Q174" s="13">
        <v>0</v>
      </c>
      <c r="R174" s="13">
        <v>0</v>
      </c>
      <c r="S174" s="12">
        <f t="shared" si="68"/>
        <v>6.39</v>
      </c>
      <c r="U174" s="13">
        <f t="shared" si="62"/>
        <v>0</v>
      </c>
      <c r="V174" s="13">
        <f t="shared" si="63"/>
        <v>0</v>
      </c>
      <c r="W174" s="13">
        <f t="shared" si="64"/>
        <v>0</v>
      </c>
      <c r="X174" s="13">
        <f t="shared" si="72"/>
        <v>3.3474776049033469E-2</v>
      </c>
      <c r="Y174" s="13">
        <f t="shared" si="73"/>
        <v>0.26779820839226776</v>
      </c>
      <c r="Z174" s="13">
        <f t="shared" si="74"/>
        <v>0</v>
      </c>
      <c r="AA174" s="13">
        <f t="shared" si="75"/>
        <v>0</v>
      </c>
      <c r="AB174" s="13">
        <f t="shared" si="76"/>
        <v>0</v>
      </c>
      <c r="AC174" s="13">
        <f t="shared" si="61"/>
        <v>0</v>
      </c>
      <c r="AD174" s="13">
        <f t="shared" si="65"/>
        <v>0</v>
      </c>
      <c r="AE174" s="13">
        <f t="shared" si="66"/>
        <v>0</v>
      </c>
      <c r="AF174" s="13">
        <f t="shared" si="67"/>
        <v>0</v>
      </c>
      <c r="AG174" s="15">
        <f t="shared" si="70"/>
        <v>2.5106082036775102E-2</v>
      </c>
      <c r="AH174" s="15">
        <f t="shared" si="71"/>
        <v>0.30127298444130124</v>
      </c>
      <c r="AI174" s="25"/>
    </row>
    <row r="175" spans="1:35" ht="12.75" x14ac:dyDescent="0.2">
      <c r="A175" s="58" t="s">
        <v>197</v>
      </c>
      <c r="B175" s="58" t="s">
        <v>102</v>
      </c>
      <c r="C175" s="11">
        <v>1.81</v>
      </c>
      <c r="D175" s="11">
        <v>1.8</v>
      </c>
      <c r="E175" s="11">
        <v>1.8</v>
      </c>
      <c r="F175" s="248">
        <v>29</v>
      </c>
      <c r="G175" s="12">
        <v>488.7</v>
      </c>
      <c r="H175" s="12">
        <v>841.65</v>
      </c>
      <c r="I175" s="12">
        <v>707.71</v>
      </c>
      <c r="J175" s="12">
        <v>816.31</v>
      </c>
      <c r="K175" s="12">
        <v>760.2</v>
      </c>
      <c r="L175" s="12">
        <v>595.79999999999995</v>
      </c>
      <c r="M175" s="13">
        <v>648</v>
      </c>
      <c r="N175" s="13">
        <v>648</v>
      </c>
      <c r="O175" s="13">
        <v>405</v>
      </c>
      <c r="P175" s="13">
        <v>468</v>
      </c>
      <c r="Q175" s="13">
        <v>477</v>
      </c>
      <c r="R175" s="13">
        <v>351</v>
      </c>
      <c r="S175" s="12">
        <f t="shared" ref="S175:S193" si="77">SUM(G175:R175)</f>
        <v>7207.37</v>
      </c>
      <c r="U175" s="13">
        <f t="shared" si="62"/>
        <v>270</v>
      </c>
      <c r="V175" s="13">
        <f t="shared" si="63"/>
        <v>465</v>
      </c>
      <c r="W175" s="13">
        <f t="shared" si="64"/>
        <v>391</v>
      </c>
      <c r="X175" s="13">
        <f t="shared" si="72"/>
        <v>453.50555555555553</v>
      </c>
      <c r="Y175" s="13">
        <f t="shared" si="73"/>
        <v>422.33333333333337</v>
      </c>
      <c r="Z175" s="13">
        <f t="shared" si="74"/>
        <v>330.99999999999994</v>
      </c>
      <c r="AA175" s="13">
        <f t="shared" si="75"/>
        <v>360</v>
      </c>
      <c r="AB175" s="13">
        <f t="shared" si="76"/>
        <v>360</v>
      </c>
      <c r="AC175" s="13">
        <f t="shared" si="61"/>
        <v>225</v>
      </c>
      <c r="AD175" s="13">
        <f t="shared" si="65"/>
        <v>260</v>
      </c>
      <c r="AE175" s="13">
        <f t="shared" si="66"/>
        <v>265</v>
      </c>
      <c r="AF175" s="13">
        <f t="shared" si="67"/>
        <v>195</v>
      </c>
      <c r="AG175" s="15">
        <f t="shared" ref="AG175:AG183" si="78">IFERROR(AVERAGE(U175:AF175),0)</f>
        <v>333.15324074074073</v>
      </c>
      <c r="AH175" s="15">
        <f t="shared" ref="AH175:AH193" si="79">SUM(U175:AF175)</f>
        <v>3997.838888888889</v>
      </c>
      <c r="AI175" s="25"/>
    </row>
    <row r="176" spans="1:35" ht="12.75" x14ac:dyDescent="0.2">
      <c r="A176" s="58" t="s">
        <v>198</v>
      </c>
      <c r="B176" s="58" t="s">
        <v>103</v>
      </c>
      <c r="C176" s="11">
        <v>2.68</v>
      </c>
      <c r="D176" s="11">
        <v>2.67</v>
      </c>
      <c r="E176" s="11">
        <v>2.67</v>
      </c>
      <c r="F176" s="248">
        <v>29</v>
      </c>
      <c r="G176" s="12">
        <v>241.2</v>
      </c>
      <c r="H176" s="12">
        <v>40.200000000000003</v>
      </c>
      <c r="I176" s="12">
        <v>201</v>
      </c>
      <c r="J176" s="12">
        <v>2.68</v>
      </c>
      <c r="K176" s="12">
        <v>340.35999999999996</v>
      </c>
      <c r="L176" s="12">
        <v>0</v>
      </c>
      <c r="M176" s="13">
        <v>0</v>
      </c>
      <c r="N176" s="13">
        <v>0</v>
      </c>
      <c r="O176" s="13">
        <v>0</v>
      </c>
      <c r="P176" s="13">
        <v>0</v>
      </c>
      <c r="Q176" s="13">
        <v>0</v>
      </c>
      <c r="R176" s="13">
        <v>0</v>
      </c>
      <c r="S176" s="12">
        <f t="shared" si="77"/>
        <v>825.43999999999994</v>
      </c>
      <c r="U176" s="13">
        <f t="shared" si="62"/>
        <v>89.999999999999986</v>
      </c>
      <c r="V176" s="13">
        <f t="shared" si="63"/>
        <v>15</v>
      </c>
      <c r="W176" s="13">
        <f t="shared" si="64"/>
        <v>75</v>
      </c>
      <c r="X176" s="13">
        <f t="shared" si="72"/>
        <v>1.0037453183520599</v>
      </c>
      <c r="Y176" s="13">
        <f t="shared" si="73"/>
        <v>127.4756554307116</v>
      </c>
      <c r="Z176" s="13">
        <f t="shared" si="74"/>
        <v>0</v>
      </c>
      <c r="AA176" s="13">
        <f t="shared" si="75"/>
        <v>0</v>
      </c>
      <c r="AB176" s="13">
        <f t="shared" si="76"/>
        <v>0</v>
      </c>
      <c r="AC176" s="13">
        <f t="shared" si="61"/>
        <v>0</v>
      </c>
      <c r="AD176" s="13">
        <f t="shared" si="65"/>
        <v>0</v>
      </c>
      <c r="AE176" s="13">
        <f t="shared" si="66"/>
        <v>0</v>
      </c>
      <c r="AF176" s="13">
        <f t="shared" si="67"/>
        <v>0</v>
      </c>
      <c r="AG176" s="15">
        <f t="shared" si="78"/>
        <v>25.706616729088637</v>
      </c>
      <c r="AH176" s="15">
        <f t="shared" si="79"/>
        <v>308.47940074906364</v>
      </c>
      <c r="AI176" s="25"/>
    </row>
    <row r="177" spans="1:35" ht="12.75" x14ac:dyDescent="0.2">
      <c r="A177" s="58" t="s">
        <v>199</v>
      </c>
      <c r="B177" s="58" t="s">
        <v>293</v>
      </c>
      <c r="C177" s="11">
        <v>35.67</v>
      </c>
      <c r="D177" s="11">
        <v>35.49</v>
      </c>
      <c r="E177" s="11">
        <v>35.49</v>
      </c>
      <c r="F177" s="248">
        <v>17</v>
      </c>
      <c r="G177" s="12">
        <v>927.42000000000007</v>
      </c>
      <c r="H177" s="12">
        <v>142.67999999999995</v>
      </c>
      <c r="I177" s="12">
        <v>642.05999999999995</v>
      </c>
      <c r="J177" s="12">
        <v>713.4</v>
      </c>
      <c r="K177" s="12">
        <v>570.72</v>
      </c>
      <c r="L177" s="12">
        <v>319.40999999999997</v>
      </c>
      <c r="M177" s="13">
        <v>567.84</v>
      </c>
      <c r="N177" s="13">
        <v>745.29</v>
      </c>
      <c r="O177" s="13">
        <v>106.47</v>
      </c>
      <c r="P177" s="13">
        <v>354.90000000000003</v>
      </c>
      <c r="Q177" s="13">
        <v>354.90000000000003</v>
      </c>
      <c r="R177" s="13">
        <v>390.39000000000004</v>
      </c>
      <c r="S177" s="12">
        <f t="shared" si="77"/>
        <v>5835.48</v>
      </c>
      <c r="U177" s="13">
        <f t="shared" si="62"/>
        <v>26</v>
      </c>
      <c r="V177" s="13">
        <f t="shared" si="63"/>
        <v>3.9999999999999982</v>
      </c>
      <c r="W177" s="13">
        <f t="shared" si="64"/>
        <v>17.999999999999996</v>
      </c>
      <c r="X177" s="13">
        <f t="shared" si="72"/>
        <v>20.101437024513945</v>
      </c>
      <c r="Y177" s="13">
        <f t="shared" si="73"/>
        <v>16.081149619611157</v>
      </c>
      <c r="Z177" s="13">
        <f t="shared" si="74"/>
        <v>8.9999999999999982</v>
      </c>
      <c r="AA177" s="13">
        <f t="shared" si="75"/>
        <v>16</v>
      </c>
      <c r="AB177" s="13">
        <f t="shared" si="76"/>
        <v>20.999999999999996</v>
      </c>
      <c r="AC177" s="13">
        <f t="shared" si="61"/>
        <v>3</v>
      </c>
      <c r="AD177" s="13">
        <f t="shared" si="65"/>
        <v>10</v>
      </c>
      <c r="AE177" s="13">
        <f t="shared" si="66"/>
        <v>10</v>
      </c>
      <c r="AF177" s="13">
        <f t="shared" si="67"/>
        <v>11</v>
      </c>
      <c r="AG177" s="15">
        <f t="shared" si="78"/>
        <v>13.681882220343757</v>
      </c>
      <c r="AH177" s="15">
        <f t="shared" si="79"/>
        <v>164.18258664412508</v>
      </c>
      <c r="AI177" s="25"/>
    </row>
    <row r="178" spans="1:35" ht="12.75" x14ac:dyDescent="0.2">
      <c r="A178" s="58" t="s">
        <v>200</v>
      </c>
      <c r="B178" s="58" t="s">
        <v>106</v>
      </c>
      <c r="C178" s="11">
        <v>11.93</v>
      </c>
      <c r="D178" s="11">
        <v>11.87</v>
      </c>
      <c r="E178" s="11">
        <v>11.87</v>
      </c>
      <c r="F178" s="248">
        <v>17</v>
      </c>
      <c r="G178" s="12">
        <v>0</v>
      </c>
      <c r="H178" s="12">
        <v>11.93</v>
      </c>
      <c r="I178" s="12">
        <v>0</v>
      </c>
      <c r="J178" s="12">
        <v>0</v>
      </c>
      <c r="K178" s="12">
        <v>11.93</v>
      </c>
      <c r="L178" s="12">
        <v>0</v>
      </c>
      <c r="M178" s="13">
        <v>23.74</v>
      </c>
      <c r="N178" s="13">
        <v>0</v>
      </c>
      <c r="O178" s="13">
        <v>11.87</v>
      </c>
      <c r="P178" s="13">
        <v>0</v>
      </c>
      <c r="Q178" s="13">
        <v>23.74</v>
      </c>
      <c r="R178" s="13">
        <v>0</v>
      </c>
      <c r="S178" s="12">
        <f t="shared" si="77"/>
        <v>83.21</v>
      </c>
      <c r="U178" s="13">
        <f t="shared" si="62"/>
        <v>0</v>
      </c>
      <c r="V178" s="13">
        <f t="shared" si="63"/>
        <v>1</v>
      </c>
      <c r="W178" s="13">
        <f t="shared" si="64"/>
        <v>0</v>
      </c>
      <c r="X178" s="13">
        <f t="shared" si="72"/>
        <v>0</v>
      </c>
      <c r="Y178" s="13">
        <f t="shared" si="73"/>
        <v>1.0050547598989048</v>
      </c>
      <c r="Z178" s="13">
        <f t="shared" si="74"/>
        <v>0</v>
      </c>
      <c r="AA178" s="13">
        <f t="shared" si="75"/>
        <v>2</v>
      </c>
      <c r="AB178" s="13">
        <f t="shared" si="76"/>
        <v>0</v>
      </c>
      <c r="AC178" s="13">
        <f t="shared" si="61"/>
        <v>1</v>
      </c>
      <c r="AD178" s="13">
        <f t="shared" si="65"/>
        <v>0</v>
      </c>
      <c r="AE178" s="13">
        <f t="shared" si="66"/>
        <v>2</v>
      </c>
      <c r="AF178" s="13">
        <f t="shared" si="67"/>
        <v>0</v>
      </c>
      <c r="AG178" s="15">
        <f t="shared" si="78"/>
        <v>0.58375456332490872</v>
      </c>
      <c r="AH178" s="15">
        <f t="shared" si="79"/>
        <v>7.005054759898905</v>
      </c>
      <c r="AI178" s="25"/>
    </row>
    <row r="179" spans="1:35" ht="12.75" x14ac:dyDescent="0.2">
      <c r="A179" s="58" t="s">
        <v>201</v>
      </c>
      <c r="B179" s="58" t="s">
        <v>294</v>
      </c>
      <c r="C179" s="11">
        <v>7.19</v>
      </c>
      <c r="D179" s="11">
        <v>7.14</v>
      </c>
      <c r="E179" s="11">
        <v>7.14</v>
      </c>
      <c r="F179" s="248">
        <v>38</v>
      </c>
      <c r="G179" s="12">
        <v>6026.5199999999995</v>
      </c>
      <c r="H179" s="12">
        <v>6057.2699999999995</v>
      </c>
      <c r="I179" s="12">
        <v>6045.2</v>
      </c>
      <c r="J179" s="12">
        <v>5943.13</v>
      </c>
      <c r="K179" s="12">
        <v>6010.4800000000005</v>
      </c>
      <c r="L179" s="12">
        <v>6008.2099999999991</v>
      </c>
      <c r="M179" s="13">
        <v>6064.22</v>
      </c>
      <c r="N179" s="13">
        <v>6109.12</v>
      </c>
      <c r="O179" s="13">
        <v>6163.64</v>
      </c>
      <c r="P179" s="13">
        <v>6213.4500000000016</v>
      </c>
      <c r="Q179" s="13">
        <v>6287.88</v>
      </c>
      <c r="R179" s="13">
        <v>6331.1800000000012</v>
      </c>
      <c r="S179" s="12">
        <f t="shared" si="77"/>
        <v>73260.300000000017</v>
      </c>
      <c r="U179" s="13">
        <f t="shared" si="62"/>
        <v>838.1808066759387</v>
      </c>
      <c r="V179" s="13">
        <f t="shared" si="63"/>
        <v>842.45757997218345</v>
      </c>
      <c r="W179" s="13">
        <f t="shared" si="64"/>
        <v>840.77885952712097</v>
      </c>
      <c r="X179" s="13">
        <f t="shared" si="72"/>
        <v>832.37114845938379</v>
      </c>
      <c r="Y179" s="13">
        <f t="shared" si="73"/>
        <v>841.80392156862752</v>
      </c>
      <c r="Z179" s="13">
        <f t="shared" si="74"/>
        <v>841.48599439775899</v>
      </c>
      <c r="AA179" s="13">
        <f t="shared" si="75"/>
        <v>849.33053221288526</v>
      </c>
      <c r="AB179" s="13">
        <f t="shared" si="76"/>
        <v>855.61904761904759</v>
      </c>
      <c r="AC179" s="13">
        <f t="shared" si="61"/>
        <v>863.25490196078442</v>
      </c>
      <c r="AD179" s="13">
        <f t="shared" si="65"/>
        <v>870.23109243697502</v>
      </c>
      <c r="AE179" s="13">
        <f t="shared" si="66"/>
        <v>880.65546218487395</v>
      </c>
      <c r="AF179" s="13">
        <f t="shared" si="67"/>
        <v>886.71988795518223</v>
      </c>
      <c r="AG179" s="15">
        <f t="shared" si="78"/>
        <v>853.57410291423002</v>
      </c>
      <c r="AH179" s="15">
        <f t="shared" si="79"/>
        <v>10242.88923497076</v>
      </c>
      <c r="AI179" s="25"/>
    </row>
    <row r="180" spans="1:35" ht="12.75" x14ac:dyDescent="0.2">
      <c r="A180" s="58" t="s">
        <v>829</v>
      </c>
      <c r="B180" s="58" t="s">
        <v>294</v>
      </c>
      <c r="C180" s="11">
        <v>7.19</v>
      </c>
      <c r="D180" s="11">
        <v>7.14</v>
      </c>
      <c r="E180" s="11">
        <v>7.14</v>
      </c>
      <c r="F180" s="248">
        <v>38</v>
      </c>
      <c r="G180" s="12">
        <v>7.19</v>
      </c>
      <c r="H180" s="12">
        <v>7.19</v>
      </c>
      <c r="I180" s="12">
        <v>7.19</v>
      </c>
      <c r="J180" s="12">
        <v>8.98</v>
      </c>
      <c r="K180" s="12">
        <v>0</v>
      </c>
      <c r="L180" s="12">
        <v>0</v>
      </c>
      <c r="M180" s="13">
        <v>0</v>
      </c>
      <c r="N180" s="13">
        <v>0</v>
      </c>
      <c r="O180" s="13">
        <v>0</v>
      </c>
      <c r="P180" s="13">
        <v>4.6100000000000003</v>
      </c>
      <c r="Q180" s="13">
        <v>0</v>
      </c>
      <c r="R180" s="13">
        <v>0</v>
      </c>
      <c r="S180" s="12">
        <f t="shared" si="77"/>
        <v>35.160000000000004</v>
      </c>
      <c r="U180" s="13">
        <f t="shared" si="62"/>
        <v>1</v>
      </c>
      <c r="V180" s="13">
        <f t="shared" si="63"/>
        <v>1</v>
      </c>
      <c r="W180" s="13">
        <f t="shared" si="64"/>
        <v>1</v>
      </c>
      <c r="X180" s="13">
        <f t="shared" si="72"/>
        <v>1.2577030812324932</v>
      </c>
      <c r="Y180" s="13">
        <f t="shared" si="73"/>
        <v>0</v>
      </c>
      <c r="Z180" s="13">
        <f t="shared" si="74"/>
        <v>0</v>
      </c>
      <c r="AA180" s="13">
        <f t="shared" si="75"/>
        <v>0</v>
      </c>
      <c r="AB180" s="13">
        <f t="shared" si="76"/>
        <v>0</v>
      </c>
      <c r="AC180" s="13">
        <f t="shared" si="61"/>
        <v>0</v>
      </c>
      <c r="AD180" s="13">
        <f t="shared" si="65"/>
        <v>0.64565826330532217</v>
      </c>
      <c r="AE180" s="13">
        <f t="shared" si="66"/>
        <v>0</v>
      </c>
      <c r="AF180" s="13">
        <f t="shared" si="67"/>
        <v>0</v>
      </c>
      <c r="AG180" s="15">
        <f t="shared" si="78"/>
        <v>0.40861344537815131</v>
      </c>
      <c r="AH180" s="15">
        <f t="shared" si="79"/>
        <v>4.9033613445378155</v>
      </c>
      <c r="AI180" s="25"/>
    </row>
    <row r="181" spans="1:35" ht="12.75" x14ac:dyDescent="0.2">
      <c r="A181" s="58" t="s">
        <v>202</v>
      </c>
      <c r="B181" s="58" t="s">
        <v>295</v>
      </c>
      <c r="C181" s="11">
        <v>3.6</v>
      </c>
      <c r="D181" s="11">
        <v>3.5804999999999998</v>
      </c>
      <c r="E181" s="11">
        <v>3.58</v>
      </c>
      <c r="F181" s="248">
        <v>38</v>
      </c>
      <c r="G181" s="12">
        <v>300.60000000000002</v>
      </c>
      <c r="H181" s="12">
        <v>297</v>
      </c>
      <c r="I181" s="12">
        <v>318.60000000000002</v>
      </c>
      <c r="J181" s="12">
        <v>304.2</v>
      </c>
      <c r="K181" s="12">
        <v>284.39999999999998</v>
      </c>
      <c r="L181" s="12">
        <v>268.5</v>
      </c>
      <c r="M181" s="13">
        <v>259.55</v>
      </c>
      <c r="N181" s="13">
        <v>268.5</v>
      </c>
      <c r="O181" s="13">
        <v>257.76</v>
      </c>
      <c r="P181" s="13">
        <v>250.60000000000002</v>
      </c>
      <c r="Q181" s="13">
        <v>264.92</v>
      </c>
      <c r="R181" s="13">
        <v>268.5</v>
      </c>
      <c r="S181" s="12">
        <f t="shared" si="77"/>
        <v>3343.1300000000006</v>
      </c>
      <c r="U181" s="13">
        <f t="shared" si="62"/>
        <v>83.5</v>
      </c>
      <c r="V181" s="13">
        <f t="shared" si="63"/>
        <v>82.5</v>
      </c>
      <c r="W181" s="13">
        <f t="shared" si="64"/>
        <v>88.5</v>
      </c>
      <c r="X181" s="13">
        <f t="shared" si="72"/>
        <v>84.960201089233351</v>
      </c>
      <c r="Y181" s="13">
        <f t="shared" si="73"/>
        <v>79.430247172182661</v>
      </c>
      <c r="Z181" s="13">
        <f t="shared" si="74"/>
        <v>74.989526602429834</v>
      </c>
      <c r="AA181" s="13">
        <f t="shared" si="75"/>
        <v>72.489875715682174</v>
      </c>
      <c r="AB181" s="13">
        <f t="shared" si="76"/>
        <v>74.989526602429834</v>
      </c>
      <c r="AC181" s="13">
        <f t="shared" si="61"/>
        <v>72</v>
      </c>
      <c r="AD181" s="13">
        <f t="shared" si="65"/>
        <v>70</v>
      </c>
      <c r="AE181" s="13">
        <f t="shared" si="66"/>
        <v>74</v>
      </c>
      <c r="AF181" s="13">
        <f t="shared" si="67"/>
        <v>75</v>
      </c>
      <c r="AG181" s="15">
        <f t="shared" si="78"/>
        <v>77.696614765163147</v>
      </c>
      <c r="AH181" s="15">
        <f t="shared" si="79"/>
        <v>932.35937718195783</v>
      </c>
      <c r="AI181" s="25"/>
    </row>
    <row r="182" spans="1:35" ht="12.75" x14ac:dyDescent="0.2">
      <c r="A182" s="58" t="s">
        <v>203</v>
      </c>
      <c r="B182" s="58" t="s">
        <v>296</v>
      </c>
      <c r="C182" s="11">
        <v>69.73</v>
      </c>
      <c r="D182" s="11">
        <v>69.38</v>
      </c>
      <c r="E182" s="11">
        <v>69.38</v>
      </c>
      <c r="F182" s="248" t="s">
        <v>1324</v>
      </c>
      <c r="G182" s="12">
        <v>0</v>
      </c>
      <c r="H182" s="12">
        <v>69.73</v>
      </c>
      <c r="I182" s="12">
        <v>0</v>
      </c>
      <c r="J182" s="12">
        <v>0</v>
      </c>
      <c r="K182" s="12">
        <v>0</v>
      </c>
      <c r="L182" s="12">
        <v>69.38</v>
      </c>
      <c r="M182" s="13">
        <v>0</v>
      </c>
      <c r="N182" s="13">
        <v>69.38</v>
      </c>
      <c r="O182" s="12">
        <v>0</v>
      </c>
      <c r="P182" s="13">
        <v>0</v>
      </c>
      <c r="Q182" s="12">
        <v>0</v>
      </c>
      <c r="R182" s="13">
        <v>0</v>
      </c>
      <c r="S182" s="12">
        <f t="shared" si="77"/>
        <v>208.49</v>
      </c>
      <c r="U182" s="13">
        <f t="shared" si="62"/>
        <v>0</v>
      </c>
      <c r="V182" s="13">
        <f t="shared" si="63"/>
        <v>1</v>
      </c>
      <c r="W182" s="13">
        <f t="shared" si="64"/>
        <v>0</v>
      </c>
      <c r="X182" s="13">
        <f t="shared" si="72"/>
        <v>0</v>
      </c>
      <c r="Y182" s="13">
        <f t="shared" si="73"/>
        <v>0</v>
      </c>
      <c r="Z182" s="13">
        <f t="shared" si="74"/>
        <v>1</v>
      </c>
      <c r="AA182" s="13">
        <f t="shared" si="75"/>
        <v>0</v>
      </c>
      <c r="AB182" s="13">
        <f t="shared" si="76"/>
        <v>1</v>
      </c>
      <c r="AC182" s="13">
        <f t="shared" si="61"/>
        <v>0</v>
      </c>
      <c r="AD182" s="13">
        <f t="shared" si="65"/>
        <v>0</v>
      </c>
      <c r="AE182" s="13">
        <f t="shared" si="66"/>
        <v>0</v>
      </c>
      <c r="AF182" s="13">
        <f t="shared" si="67"/>
        <v>0</v>
      </c>
      <c r="AG182" s="15">
        <f t="shared" si="78"/>
        <v>0.25</v>
      </c>
      <c r="AH182" s="15">
        <f t="shared" si="79"/>
        <v>3</v>
      </c>
      <c r="AI182" s="25"/>
    </row>
    <row r="183" spans="1:35" ht="12.75" x14ac:dyDescent="0.2">
      <c r="A183" s="58" t="s">
        <v>204</v>
      </c>
      <c r="B183" s="58" t="s">
        <v>297</v>
      </c>
      <c r="C183" s="11">
        <v>70.41</v>
      </c>
      <c r="D183" s="11">
        <v>70.06</v>
      </c>
      <c r="E183" s="11">
        <v>70.05</v>
      </c>
      <c r="F183" s="248" t="s">
        <v>1324</v>
      </c>
      <c r="G183" s="12">
        <v>0</v>
      </c>
      <c r="H183" s="12">
        <v>70.41</v>
      </c>
      <c r="I183" s="12">
        <v>0</v>
      </c>
      <c r="J183" s="12">
        <v>70.41</v>
      </c>
      <c r="K183" s="12">
        <v>0</v>
      </c>
      <c r="L183" s="12">
        <v>0</v>
      </c>
      <c r="M183" s="13">
        <v>0</v>
      </c>
      <c r="N183" s="13">
        <v>0</v>
      </c>
      <c r="O183" s="13">
        <v>0</v>
      </c>
      <c r="P183" s="13">
        <v>0</v>
      </c>
      <c r="Q183" s="13">
        <v>140.1</v>
      </c>
      <c r="R183" s="13">
        <v>0</v>
      </c>
      <c r="S183" s="12">
        <f t="shared" si="77"/>
        <v>280.91999999999996</v>
      </c>
      <c r="U183" s="13">
        <f t="shared" si="62"/>
        <v>0</v>
      </c>
      <c r="V183" s="13">
        <f t="shared" si="63"/>
        <v>1</v>
      </c>
      <c r="W183" s="13">
        <f t="shared" si="64"/>
        <v>0</v>
      </c>
      <c r="X183" s="13">
        <f t="shared" si="72"/>
        <v>1.0049957179560376</v>
      </c>
      <c r="Y183" s="13">
        <f t="shared" si="73"/>
        <v>0</v>
      </c>
      <c r="Z183" s="13">
        <f t="shared" si="74"/>
        <v>0</v>
      </c>
      <c r="AA183" s="13">
        <f t="shared" si="75"/>
        <v>0</v>
      </c>
      <c r="AB183" s="13">
        <f t="shared" si="76"/>
        <v>0</v>
      </c>
      <c r="AC183" s="13">
        <f t="shared" si="61"/>
        <v>0</v>
      </c>
      <c r="AD183" s="13">
        <f t="shared" si="65"/>
        <v>0</v>
      </c>
      <c r="AE183" s="13">
        <f t="shared" si="66"/>
        <v>2</v>
      </c>
      <c r="AF183" s="13">
        <f t="shared" si="67"/>
        <v>0</v>
      </c>
      <c r="AG183" s="15">
        <f t="shared" si="78"/>
        <v>0.33374964316300315</v>
      </c>
      <c r="AH183" s="15">
        <f t="shared" si="79"/>
        <v>4.0049957179560378</v>
      </c>
      <c r="AI183" s="25"/>
    </row>
    <row r="184" spans="1:35" ht="12.75" x14ac:dyDescent="0.2">
      <c r="A184" s="58" t="s">
        <v>975</v>
      </c>
      <c r="B184" s="58" t="s">
        <v>979</v>
      </c>
      <c r="C184" s="11">
        <v>0</v>
      </c>
      <c r="D184" s="11">
        <v>0</v>
      </c>
      <c r="E184" s="11">
        <v>0</v>
      </c>
      <c r="F184" s="11"/>
      <c r="G184" s="12">
        <v>0</v>
      </c>
      <c r="H184" s="12">
        <v>0</v>
      </c>
      <c r="I184" s="12">
        <v>0</v>
      </c>
      <c r="J184" s="12">
        <v>0</v>
      </c>
      <c r="K184" s="12">
        <v>0</v>
      </c>
      <c r="L184" s="12">
        <v>0</v>
      </c>
      <c r="M184" s="13">
        <v>0</v>
      </c>
      <c r="N184" s="13">
        <v>0</v>
      </c>
      <c r="O184" s="13">
        <v>0</v>
      </c>
      <c r="P184" s="13">
        <v>0</v>
      </c>
      <c r="Q184" s="13">
        <v>0</v>
      </c>
      <c r="R184" s="13">
        <v>0</v>
      </c>
      <c r="S184" s="12">
        <f>SUM(G184:R184)</f>
        <v>0</v>
      </c>
      <c r="U184" s="13">
        <f t="shared" si="62"/>
        <v>0</v>
      </c>
      <c r="V184" s="13">
        <f t="shared" si="63"/>
        <v>0</v>
      </c>
      <c r="W184" s="13">
        <f t="shared" si="64"/>
        <v>0</v>
      </c>
      <c r="X184" s="13">
        <f>IFERROR(J184/$D184,0)</f>
        <v>0</v>
      </c>
      <c r="Y184" s="13">
        <f>IFERROR(K184/$D184,0)</f>
        <v>0</v>
      </c>
      <c r="Z184" s="13">
        <f>IFERROR(L184/$D184,0)</f>
        <v>0</v>
      </c>
      <c r="AA184" s="13">
        <f>IFERROR(M184/$D184,0)</f>
        <v>0</v>
      </c>
      <c r="AB184" s="13">
        <f>IFERROR(N184/$D184,0)</f>
        <v>0</v>
      </c>
      <c r="AC184" s="13">
        <f>IFERROR(O184/$E184,0)</f>
        <v>0</v>
      </c>
      <c r="AD184" s="13">
        <f t="shared" si="65"/>
        <v>0</v>
      </c>
      <c r="AE184" s="13">
        <f t="shared" si="66"/>
        <v>0</v>
      </c>
      <c r="AF184" s="13">
        <f t="shared" si="67"/>
        <v>0</v>
      </c>
      <c r="AG184" s="15">
        <f>IFERROR(AVERAGE(U184:AF184),0)</f>
        <v>0</v>
      </c>
      <c r="AH184" s="15">
        <f>+SUM(U184:AF184)</f>
        <v>0</v>
      </c>
    </row>
    <row r="185" spans="1:35" ht="12.75" x14ac:dyDescent="0.2">
      <c r="A185" s="58" t="s">
        <v>1021</v>
      </c>
      <c r="B185" s="58" t="s">
        <v>1022</v>
      </c>
      <c r="C185" s="11">
        <v>35.67</v>
      </c>
      <c r="D185" s="11">
        <v>35.49</v>
      </c>
      <c r="E185" s="11">
        <v>35.49</v>
      </c>
      <c r="F185" s="248">
        <v>17</v>
      </c>
      <c r="G185" s="12">
        <v>0</v>
      </c>
      <c r="H185" s="12">
        <v>0</v>
      </c>
      <c r="I185" s="12">
        <v>71.34</v>
      </c>
      <c r="J185" s="12">
        <v>0</v>
      </c>
      <c r="K185" s="12">
        <v>0</v>
      </c>
      <c r="L185" s="12">
        <v>0</v>
      </c>
      <c r="M185" s="13">
        <v>0</v>
      </c>
      <c r="N185" s="13">
        <v>0</v>
      </c>
      <c r="O185" s="13">
        <v>0</v>
      </c>
      <c r="P185" s="13">
        <v>0</v>
      </c>
      <c r="Q185" s="13">
        <v>0</v>
      </c>
      <c r="R185" s="13">
        <v>0</v>
      </c>
      <c r="S185" s="12">
        <f t="shared" si="77"/>
        <v>71.34</v>
      </c>
      <c r="U185" s="13">
        <f t="shared" si="62"/>
        <v>0</v>
      </c>
      <c r="V185" s="13">
        <f t="shared" si="63"/>
        <v>0</v>
      </c>
      <c r="W185" s="13">
        <f t="shared" si="64"/>
        <v>2</v>
      </c>
      <c r="X185" s="13"/>
      <c r="Y185" s="13"/>
      <c r="Z185" s="13"/>
      <c r="AA185" s="13"/>
      <c r="AB185" s="13"/>
      <c r="AC185" s="13">
        <f t="shared" si="61"/>
        <v>0</v>
      </c>
      <c r="AD185" s="13">
        <f t="shared" si="65"/>
        <v>0</v>
      </c>
      <c r="AE185" s="13">
        <f t="shared" si="66"/>
        <v>0</v>
      </c>
      <c r="AF185" s="13">
        <f t="shared" si="67"/>
        <v>0</v>
      </c>
      <c r="AG185" s="13">
        <f>IFERROR(S185/#REF!,0)</f>
        <v>0</v>
      </c>
      <c r="AH185" s="15">
        <f t="shared" si="79"/>
        <v>2</v>
      </c>
      <c r="AI185" s="25"/>
    </row>
    <row r="186" spans="1:35" ht="12.75" x14ac:dyDescent="0.2">
      <c r="A186" s="58" t="s">
        <v>1209</v>
      </c>
      <c r="B186" s="58" t="s">
        <v>1210</v>
      </c>
      <c r="C186" s="11">
        <v>4.25</v>
      </c>
      <c r="D186" s="11">
        <v>4.25</v>
      </c>
      <c r="E186" s="11">
        <v>4.25</v>
      </c>
      <c r="F186" s="248">
        <v>19</v>
      </c>
      <c r="G186" s="12">
        <v>29.75</v>
      </c>
      <c r="H186" s="12">
        <v>29.75</v>
      </c>
      <c r="I186" s="12">
        <v>29.75</v>
      </c>
      <c r="J186" s="12">
        <v>27.62</v>
      </c>
      <c r="K186" s="12">
        <v>25.5</v>
      </c>
      <c r="L186" s="12">
        <v>25.38</v>
      </c>
      <c r="M186" s="13">
        <v>25.38</v>
      </c>
      <c r="N186" s="13">
        <v>25.38</v>
      </c>
      <c r="O186" s="13">
        <v>25.38</v>
      </c>
      <c r="P186" s="13">
        <v>25.38</v>
      </c>
      <c r="Q186" s="13">
        <v>25.38</v>
      </c>
      <c r="R186" s="13">
        <v>25.38</v>
      </c>
      <c r="S186" s="12">
        <f t="shared" si="77"/>
        <v>320.02999999999997</v>
      </c>
      <c r="U186" s="13">
        <f t="shared" si="62"/>
        <v>7</v>
      </c>
      <c r="V186" s="13">
        <f t="shared" si="63"/>
        <v>7</v>
      </c>
      <c r="W186" s="13">
        <f t="shared" si="64"/>
        <v>7</v>
      </c>
      <c r="X186" s="13">
        <f>J186/$D186</f>
        <v>6.4988235294117649</v>
      </c>
      <c r="Y186" s="13">
        <f>K186/$D186</f>
        <v>6</v>
      </c>
      <c r="Z186" s="13">
        <f>L186/$D186</f>
        <v>5.9717647058823529</v>
      </c>
      <c r="AA186" s="13">
        <f>M186/$D186</f>
        <v>5.9717647058823529</v>
      </c>
      <c r="AB186" s="13">
        <f>N186/$D186</f>
        <v>5.9717647058823529</v>
      </c>
      <c r="AC186" s="13">
        <f t="shared" si="61"/>
        <v>5.9717647058823529</v>
      </c>
      <c r="AD186" s="13">
        <f t="shared" si="65"/>
        <v>5.9717647058823529</v>
      </c>
      <c r="AE186" s="13">
        <f t="shared" si="66"/>
        <v>5.9717647058823529</v>
      </c>
      <c r="AF186" s="13">
        <f t="shared" si="67"/>
        <v>5.9717647058823529</v>
      </c>
      <c r="AG186" s="15">
        <f>IFERROR(AVERAGE(U186:AF186),0)</f>
        <v>6.2750980392156848</v>
      </c>
      <c r="AH186" s="15">
        <f t="shared" si="79"/>
        <v>75.301176470588217</v>
      </c>
      <c r="AI186" s="25"/>
    </row>
    <row r="187" spans="1:35" ht="12.75" x14ac:dyDescent="0.2">
      <c r="A187" s="58" t="s">
        <v>847</v>
      </c>
      <c r="B187" s="58" t="s">
        <v>300</v>
      </c>
      <c r="C187" s="11">
        <v>10.26</v>
      </c>
      <c r="D187" s="11">
        <v>10.26</v>
      </c>
      <c r="E187" s="11">
        <v>10.26</v>
      </c>
      <c r="F187" s="248">
        <v>31</v>
      </c>
      <c r="G187" s="12">
        <v>0</v>
      </c>
      <c r="H187" s="12">
        <v>0</v>
      </c>
      <c r="I187" s="12">
        <v>0</v>
      </c>
      <c r="J187" s="12">
        <v>0</v>
      </c>
      <c r="K187" s="12">
        <v>8.76</v>
      </c>
      <c r="L187" s="12">
        <v>0</v>
      </c>
      <c r="M187" s="13">
        <v>0</v>
      </c>
      <c r="N187" s="13">
        <v>0</v>
      </c>
      <c r="O187" s="13">
        <v>0</v>
      </c>
      <c r="P187" s="13">
        <v>0</v>
      </c>
      <c r="Q187" s="13">
        <v>0</v>
      </c>
      <c r="R187" s="13">
        <v>0</v>
      </c>
      <c r="S187" s="12">
        <f>SUM(G187:R187)</f>
        <v>8.76</v>
      </c>
      <c r="U187" s="13">
        <f t="shared" si="62"/>
        <v>0</v>
      </c>
      <c r="V187" s="13">
        <f t="shared" si="63"/>
        <v>0</v>
      </c>
      <c r="W187" s="13">
        <f t="shared" si="64"/>
        <v>0</v>
      </c>
      <c r="X187" s="13">
        <f>IFERROR(J187/$D187,0)</f>
        <v>0</v>
      </c>
      <c r="Y187" s="13">
        <f>IFERROR(K187/$D187,0)</f>
        <v>0.85380116959064323</v>
      </c>
      <c r="Z187" s="13">
        <f>IFERROR(L187/$D187,0)</f>
        <v>0</v>
      </c>
      <c r="AA187" s="13">
        <f>IFERROR(M187/$D187,0)</f>
        <v>0</v>
      </c>
      <c r="AB187" s="13">
        <f>IFERROR(N187/$D187,0)</f>
        <v>0</v>
      </c>
      <c r="AC187" s="13">
        <f>IFERROR(O187/$E187,0)</f>
        <v>0</v>
      </c>
      <c r="AD187" s="13">
        <f t="shared" si="65"/>
        <v>0</v>
      </c>
      <c r="AE187" s="13">
        <f t="shared" si="66"/>
        <v>0</v>
      </c>
      <c r="AF187" s="13">
        <f t="shared" si="67"/>
        <v>0</v>
      </c>
      <c r="AG187" s="15">
        <f>IFERROR(AVERAGE(U187:AF187),0)</f>
        <v>7.1150097465886936E-2</v>
      </c>
      <c r="AH187" s="15">
        <f>+SUM(U187:AF187)</f>
        <v>0.85380116959064323</v>
      </c>
    </row>
    <row r="188" spans="1:35" ht="12.75" x14ac:dyDescent="0.2">
      <c r="A188" s="58" t="s">
        <v>205</v>
      </c>
      <c r="B188" s="58" t="s">
        <v>298</v>
      </c>
      <c r="C188" s="11">
        <v>8.49</v>
      </c>
      <c r="D188" s="11">
        <v>8.49</v>
      </c>
      <c r="E188" s="11">
        <v>8.49</v>
      </c>
      <c r="F188" s="248">
        <v>19</v>
      </c>
      <c r="G188" s="12">
        <v>195.26999999999998</v>
      </c>
      <c r="H188" s="12">
        <v>205.72</v>
      </c>
      <c r="I188" s="12">
        <v>197.23</v>
      </c>
      <c r="J188" s="12">
        <v>218.28</v>
      </c>
      <c r="K188" s="12">
        <v>275.75</v>
      </c>
      <c r="L188" s="12">
        <v>267.49</v>
      </c>
      <c r="M188" s="13">
        <v>265.21999999999997</v>
      </c>
      <c r="N188" s="13">
        <v>246.70999999999998</v>
      </c>
      <c r="O188" s="13">
        <v>231.77999999999997</v>
      </c>
      <c r="P188" s="13">
        <v>238.26999999999998</v>
      </c>
      <c r="Q188" s="13">
        <v>234.04999999999998</v>
      </c>
      <c r="R188" s="13">
        <v>242.17</v>
      </c>
      <c r="S188" s="12">
        <f t="shared" si="77"/>
        <v>2817.94</v>
      </c>
      <c r="U188" s="13">
        <f t="shared" si="62"/>
        <v>22.999999999999996</v>
      </c>
      <c r="V188" s="13">
        <f t="shared" si="63"/>
        <v>24.230859835100116</v>
      </c>
      <c r="W188" s="13">
        <f t="shared" si="64"/>
        <v>23.230859835100116</v>
      </c>
      <c r="X188" s="13">
        <f t="shared" ref="X188:AB189" si="80">J188/$D188</f>
        <v>25.710247349823319</v>
      </c>
      <c r="Y188" s="13">
        <f t="shared" si="80"/>
        <v>32.4793875147232</v>
      </c>
      <c r="Z188" s="13">
        <f t="shared" si="80"/>
        <v>31.506478209658422</v>
      </c>
      <c r="AA188" s="13">
        <f t="shared" si="80"/>
        <v>31.239104829210831</v>
      </c>
      <c r="AB188" s="13">
        <f t="shared" si="80"/>
        <v>29.058892815076558</v>
      </c>
      <c r="AC188" s="13">
        <f t="shared" si="61"/>
        <v>27.300353356890454</v>
      </c>
      <c r="AD188" s="13">
        <f t="shared" si="65"/>
        <v>28.064782096584214</v>
      </c>
      <c r="AE188" s="13">
        <f t="shared" si="66"/>
        <v>27.567726737338042</v>
      </c>
      <c r="AF188" s="13">
        <f t="shared" si="67"/>
        <v>28.524146054181386</v>
      </c>
      <c r="AG188" s="15">
        <f>IFERROR(AVERAGE(U188:AF188),0)</f>
        <v>27.659403219473887</v>
      </c>
      <c r="AH188" s="15">
        <f t="shared" si="79"/>
        <v>331.91283863368665</v>
      </c>
      <c r="AI188" s="25"/>
    </row>
    <row r="189" spans="1:35" ht="12.75" x14ac:dyDescent="0.2">
      <c r="A189" s="58" t="s">
        <v>206</v>
      </c>
      <c r="B189" s="58" t="s">
        <v>299</v>
      </c>
      <c r="C189" s="11">
        <v>5.14</v>
      </c>
      <c r="D189" s="11">
        <v>5.14</v>
      </c>
      <c r="E189" s="11">
        <v>5.14</v>
      </c>
      <c r="F189" s="248">
        <v>31</v>
      </c>
      <c r="G189" s="12">
        <v>159.34</v>
      </c>
      <c r="H189" s="12">
        <v>159.34</v>
      </c>
      <c r="I189" s="12">
        <v>190.17999999999998</v>
      </c>
      <c r="J189" s="12">
        <v>156.77000000000001</v>
      </c>
      <c r="K189" s="12">
        <v>138.78</v>
      </c>
      <c r="L189" s="12">
        <v>140.80000000000001</v>
      </c>
      <c r="M189" s="13">
        <v>140.80000000000001</v>
      </c>
      <c r="N189" s="13">
        <v>148.47999999999999</v>
      </c>
      <c r="O189" s="13">
        <v>143.36000000000001</v>
      </c>
      <c r="P189" s="13">
        <v>138.24</v>
      </c>
      <c r="Q189" s="13">
        <v>145.91999999999999</v>
      </c>
      <c r="R189" s="13">
        <v>151.04</v>
      </c>
      <c r="S189" s="12">
        <f t="shared" si="77"/>
        <v>1813.05</v>
      </c>
      <c r="U189" s="13">
        <f t="shared" si="62"/>
        <v>31.000000000000004</v>
      </c>
      <c r="V189" s="13">
        <f t="shared" si="63"/>
        <v>31.000000000000004</v>
      </c>
      <c r="W189" s="13">
        <f t="shared" si="64"/>
        <v>37</v>
      </c>
      <c r="X189" s="13">
        <f t="shared" si="80"/>
        <v>30.500000000000004</v>
      </c>
      <c r="Y189" s="13">
        <f t="shared" si="80"/>
        <v>27.000000000000004</v>
      </c>
      <c r="Z189" s="13">
        <f t="shared" si="80"/>
        <v>27.392996108949418</v>
      </c>
      <c r="AA189" s="13">
        <f t="shared" si="80"/>
        <v>27.392996108949418</v>
      </c>
      <c r="AB189" s="13">
        <f t="shared" si="80"/>
        <v>28.88715953307393</v>
      </c>
      <c r="AC189" s="13">
        <f t="shared" si="61"/>
        <v>27.891050583657591</v>
      </c>
      <c r="AD189" s="13">
        <f t="shared" si="65"/>
        <v>26.894941634241249</v>
      </c>
      <c r="AE189" s="13">
        <f t="shared" si="66"/>
        <v>28.389105058365757</v>
      </c>
      <c r="AF189" s="13">
        <f t="shared" si="67"/>
        <v>29.3852140077821</v>
      </c>
      <c r="AG189" s="15">
        <f>IFERROR(AVERAGE(U189:AF189),0)</f>
        <v>29.394455252918295</v>
      </c>
      <c r="AH189" s="15">
        <f t="shared" si="79"/>
        <v>352.73346303501955</v>
      </c>
      <c r="AI189" s="25"/>
    </row>
    <row r="190" spans="1:35" ht="12.75" x14ac:dyDescent="0.2">
      <c r="A190" s="58" t="s">
        <v>1010</v>
      </c>
      <c r="B190" s="58" t="s">
        <v>1011</v>
      </c>
      <c r="C190" s="11">
        <v>0</v>
      </c>
      <c r="D190" s="11">
        <v>0</v>
      </c>
      <c r="E190" s="11">
        <v>0</v>
      </c>
      <c r="F190" s="11"/>
      <c r="G190" s="12">
        <v>2611.73</v>
      </c>
      <c r="H190" s="12">
        <v>-4797.2999999999993</v>
      </c>
      <c r="I190" s="12">
        <v>4415.62</v>
      </c>
      <c r="J190" s="12">
        <v>-2292.2200000000003</v>
      </c>
      <c r="K190" s="12">
        <v>-690.40000000000009</v>
      </c>
      <c r="L190" s="12">
        <v>12562.9</v>
      </c>
      <c r="M190" s="13">
        <v>2264.3199999999997</v>
      </c>
      <c r="N190" s="13">
        <v>-2715.8300000000004</v>
      </c>
      <c r="O190" s="13">
        <v>2865.6200000000003</v>
      </c>
      <c r="P190" s="13">
        <v>-831.35</v>
      </c>
      <c r="Q190" s="13">
        <v>13085.770000000002</v>
      </c>
      <c r="R190" s="13">
        <v>2194.98</v>
      </c>
      <c r="S190" s="12">
        <f>SUM(G190:R190)</f>
        <v>28673.84</v>
      </c>
      <c r="U190" s="1">
        <f t="shared" si="62"/>
        <v>0</v>
      </c>
      <c r="V190" s="1">
        <f t="shared" si="63"/>
        <v>0</v>
      </c>
      <c r="W190" s="1">
        <f t="shared" si="64"/>
        <v>0</v>
      </c>
      <c r="AD190" s="1">
        <f t="shared" si="65"/>
        <v>0</v>
      </c>
      <c r="AE190" s="1">
        <f t="shared" si="66"/>
        <v>0</v>
      </c>
      <c r="AF190" s="1">
        <f t="shared" si="67"/>
        <v>0</v>
      </c>
    </row>
    <row r="191" spans="1:35" ht="12.75" x14ac:dyDescent="0.2">
      <c r="A191" s="60" t="s">
        <v>209</v>
      </c>
      <c r="B191" s="60" t="s">
        <v>302</v>
      </c>
      <c r="C191" s="11">
        <v>0</v>
      </c>
      <c r="D191" s="11">
        <v>0</v>
      </c>
      <c r="E191" s="11">
        <v>0</v>
      </c>
      <c r="F191" s="11"/>
      <c r="G191" s="12">
        <v>-420</v>
      </c>
      <c r="H191" s="12">
        <v>-706.31999999999994</v>
      </c>
      <c r="I191" s="12">
        <v>-540.35</v>
      </c>
      <c r="J191" s="12">
        <v>-1098.79</v>
      </c>
      <c r="K191" s="12">
        <v>-2292.35</v>
      </c>
      <c r="L191" s="12">
        <v>-2174.85</v>
      </c>
      <c r="M191" s="13">
        <v>-620</v>
      </c>
      <c r="N191" s="13">
        <v>-1681.57</v>
      </c>
      <c r="O191" s="13">
        <v>-364.96</v>
      </c>
      <c r="P191" s="13">
        <v>-2676.6</v>
      </c>
      <c r="Q191" s="13">
        <v>-824.67</v>
      </c>
      <c r="R191" s="13">
        <v>-466.17</v>
      </c>
      <c r="S191" s="12">
        <f>SUM(G191:R191)</f>
        <v>-13866.63</v>
      </c>
      <c r="U191" s="1">
        <f t="shared" si="62"/>
        <v>0</v>
      </c>
      <c r="V191" s="1">
        <f t="shared" si="63"/>
        <v>0</v>
      </c>
      <c r="W191" s="1">
        <f t="shared" si="64"/>
        <v>0</v>
      </c>
      <c r="AD191" s="1">
        <f t="shared" si="65"/>
        <v>0</v>
      </c>
      <c r="AE191" s="1">
        <f t="shared" si="66"/>
        <v>0</v>
      </c>
      <c r="AF191" s="1">
        <f t="shared" si="67"/>
        <v>0</v>
      </c>
    </row>
    <row r="192" spans="1:35" ht="12.75" x14ac:dyDescent="0.2">
      <c r="A192" s="60" t="s">
        <v>1315</v>
      </c>
      <c r="B192" s="60" t="s">
        <v>301</v>
      </c>
      <c r="C192" s="11">
        <v>0</v>
      </c>
      <c r="D192" s="11">
        <v>0</v>
      </c>
      <c r="E192" s="11">
        <v>0</v>
      </c>
      <c r="F192" s="11"/>
      <c r="G192" s="12">
        <v>-17.459999999999997</v>
      </c>
      <c r="H192" s="12">
        <v>4.01</v>
      </c>
      <c r="I192" s="12">
        <v>0</v>
      </c>
      <c r="J192" s="12">
        <v>-48.6</v>
      </c>
      <c r="K192" s="12">
        <v>7.0000000000000007E-2</v>
      </c>
      <c r="L192" s="12">
        <v>0</v>
      </c>
      <c r="M192" s="13">
        <v>-0.45</v>
      </c>
      <c r="N192" s="13">
        <v>-130.79</v>
      </c>
      <c r="O192" s="13">
        <v>-238.63</v>
      </c>
      <c r="P192" s="13">
        <v>19.400000000000002</v>
      </c>
      <c r="Q192" s="13">
        <v>-14.83</v>
      </c>
      <c r="R192" s="13">
        <v>-1.51</v>
      </c>
      <c r="S192" s="12">
        <f>SUM(G192:R192)</f>
        <v>-428.79</v>
      </c>
      <c r="U192" s="1">
        <f t="shared" si="62"/>
        <v>0</v>
      </c>
      <c r="V192" s="1">
        <f t="shared" si="63"/>
        <v>0</v>
      </c>
      <c r="W192" s="1">
        <f t="shared" si="64"/>
        <v>0</v>
      </c>
      <c r="AD192" s="1">
        <f t="shared" si="65"/>
        <v>0</v>
      </c>
      <c r="AE192" s="1">
        <f t="shared" si="66"/>
        <v>0</v>
      </c>
      <c r="AF192" s="1">
        <f t="shared" si="67"/>
        <v>0</v>
      </c>
    </row>
    <row r="193" spans="1:41" ht="12.75" x14ac:dyDescent="0.2">
      <c r="A193" s="58" t="s">
        <v>207</v>
      </c>
      <c r="B193" s="58" t="s">
        <v>300</v>
      </c>
      <c r="C193" s="11">
        <v>10.26</v>
      </c>
      <c r="D193" s="11">
        <v>10.26</v>
      </c>
      <c r="E193" s="11">
        <v>10.26</v>
      </c>
      <c r="F193" s="248">
        <v>31</v>
      </c>
      <c r="G193" s="12">
        <v>7001.82</v>
      </c>
      <c r="H193" s="12">
        <v>7080.4</v>
      </c>
      <c r="I193" s="12">
        <v>7070.28</v>
      </c>
      <c r="J193" s="12">
        <v>7131.1299999999992</v>
      </c>
      <c r="K193" s="12">
        <v>7244.5999999999995</v>
      </c>
      <c r="L193" s="12">
        <v>7223.07</v>
      </c>
      <c r="M193" s="13">
        <v>7295.69</v>
      </c>
      <c r="N193" s="13">
        <v>7331.4400000000005</v>
      </c>
      <c r="O193" s="13">
        <v>7364.6500000000005</v>
      </c>
      <c r="P193" s="13">
        <v>7524.0499999999993</v>
      </c>
      <c r="Q193" s="13">
        <v>7509.9899999999989</v>
      </c>
      <c r="R193" s="13">
        <v>7613.5899999999992</v>
      </c>
      <c r="S193" s="12">
        <f t="shared" si="77"/>
        <v>87390.71</v>
      </c>
      <c r="U193" s="13">
        <f t="shared" si="62"/>
        <v>682.43859649122805</v>
      </c>
      <c r="V193" s="13">
        <f t="shared" si="63"/>
        <v>690.09746588693952</v>
      </c>
      <c r="W193" s="13">
        <f t="shared" si="64"/>
        <v>689.11111111111109</v>
      </c>
      <c r="X193" s="13">
        <f t="shared" ref="X193:AC193" si="81">J193/$D193</f>
        <v>695.04191033138397</v>
      </c>
      <c r="Y193" s="13">
        <f t="shared" si="81"/>
        <v>706.10136452241716</v>
      </c>
      <c r="Z193" s="13">
        <f t="shared" si="81"/>
        <v>704.00292397660814</v>
      </c>
      <c r="AA193" s="13">
        <f t="shared" si="81"/>
        <v>711.0808966861598</v>
      </c>
      <c r="AB193" s="13">
        <f t="shared" si="81"/>
        <v>714.56530214424959</v>
      </c>
      <c r="AC193" s="13">
        <f t="shared" si="81"/>
        <v>717.80214424951271</v>
      </c>
      <c r="AD193" s="13">
        <f t="shared" si="65"/>
        <v>733.33820662768028</v>
      </c>
      <c r="AE193" s="13">
        <f t="shared" si="66"/>
        <v>731.96783625730984</v>
      </c>
      <c r="AF193" s="13">
        <f t="shared" si="67"/>
        <v>742.06530214424947</v>
      </c>
      <c r="AG193" s="15">
        <f>IFERROR(AVERAGE(U193:AF193),0)</f>
        <v>709.80108836907073</v>
      </c>
      <c r="AH193" s="15">
        <f t="shared" si="79"/>
        <v>8517.6130604288483</v>
      </c>
      <c r="AI193" s="25"/>
    </row>
    <row r="194" spans="1:41" x14ac:dyDescent="0.2">
      <c r="A194" s="10"/>
      <c r="B194" s="10"/>
      <c r="F194" s="11"/>
      <c r="G194" s="12"/>
      <c r="H194" s="13" t="str">
        <f>IF(F194="","",(#REF!/F194)+(#REF!/#REF!))</f>
        <v/>
      </c>
      <c r="I194" s="13" t="str">
        <f>IF(F194="","",H194/12)</f>
        <v/>
      </c>
      <c r="AH194" s="16"/>
    </row>
    <row r="195" spans="1:41" x14ac:dyDescent="0.2">
      <c r="B195" s="17" t="s">
        <v>303</v>
      </c>
      <c r="F195" s="11"/>
      <c r="G195" s="23">
        <f t="shared" ref="G195:S195" si="82">SUM(G76:G194)</f>
        <v>687586.745</v>
      </c>
      <c r="H195" s="23">
        <f t="shared" si="82"/>
        <v>688446.39500000014</v>
      </c>
      <c r="I195" s="23">
        <f t="shared" si="82"/>
        <v>704183.39999999991</v>
      </c>
      <c r="J195" s="23">
        <f t="shared" si="82"/>
        <v>702348.7000000003</v>
      </c>
      <c r="K195" s="23">
        <f t="shared" si="82"/>
        <v>691837.12000000046</v>
      </c>
      <c r="L195" s="23">
        <f t="shared" si="82"/>
        <v>677672.62999999989</v>
      </c>
      <c r="M195" s="23">
        <f t="shared" si="82"/>
        <v>650884.46999999974</v>
      </c>
      <c r="N195" s="23">
        <f t="shared" si="82"/>
        <v>644280.19999999995</v>
      </c>
      <c r="O195" s="23">
        <f t="shared" si="82"/>
        <v>652447.66999999993</v>
      </c>
      <c r="P195" s="23">
        <f t="shared" si="82"/>
        <v>658241.2200000002</v>
      </c>
      <c r="Q195" s="23">
        <f t="shared" si="82"/>
        <v>678422.28</v>
      </c>
      <c r="R195" s="23">
        <f t="shared" si="82"/>
        <v>672955.94000000018</v>
      </c>
      <c r="S195" s="23">
        <f t="shared" si="82"/>
        <v>8109306.7700000014</v>
      </c>
      <c r="U195" s="180">
        <f t="shared" ref="U195:AG195" si="83">+SUM(U76:U143)</f>
        <v>4364.7764921740936</v>
      </c>
      <c r="V195" s="180">
        <f t="shared" si="83"/>
        <v>4415.4586350140962</v>
      </c>
      <c r="W195" s="180">
        <f t="shared" si="83"/>
        <v>4438.3469126154559</v>
      </c>
      <c r="X195" s="180">
        <f t="shared" si="83"/>
        <v>4407.607519050719</v>
      </c>
      <c r="Y195" s="180">
        <f t="shared" si="83"/>
        <v>4329.6078445203366</v>
      </c>
      <c r="Z195" s="180">
        <f t="shared" si="83"/>
        <v>4193.8865206962892</v>
      </c>
      <c r="AA195" s="180">
        <f t="shared" si="83"/>
        <v>3551.8670431333412</v>
      </c>
      <c r="AB195" s="180">
        <f t="shared" si="83"/>
        <v>3527.3294712297579</v>
      </c>
      <c r="AC195" s="180">
        <f t="shared" si="83"/>
        <v>3468.8244343476917</v>
      </c>
      <c r="AD195" s="180">
        <f t="shared" si="83"/>
        <v>3513.9850745972581</v>
      </c>
      <c r="AE195" s="180">
        <f t="shared" si="83"/>
        <v>3517.4085614344417</v>
      </c>
      <c r="AF195" s="180">
        <f t="shared" si="83"/>
        <v>3523.9613785143629</v>
      </c>
      <c r="AG195" s="180">
        <f t="shared" si="83"/>
        <v>3937.7549906106556</v>
      </c>
      <c r="AH195" s="180">
        <f>SUM(AH76:AH193)</f>
        <v>114515.58423348518</v>
      </c>
      <c r="AK195" s="211">
        <f>+SUM(AK76:AK194)</f>
        <v>428.1472386874118</v>
      </c>
      <c r="AM195" s="211">
        <f>+SUM(AM76:AM194)</f>
        <v>3049.1472728218869</v>
      </c>
      <c r="AO195" s="211">
        <f>+SUM(AO76:AO194)</f>
        <v>0</v>
      </c>
    </row>
    <row r="196" spans="1:41" x14ac:dyDescent="0.2">
      <c r="F196" s="11"/>
      <c r="G196" s="18"/>
      <c r="H196" s="13"/>
      <c r="I196" s="13"/>
      <c r="AF196" s="96" t="s">
        <v>1354</v>
      </c>
      <c r="AH196" s="243">
        <f>+SUM(AH76:AH155)</f>
        <v>53325.868503927726</v>
      </c>
    </row>
    <row r="197" spans="1:41" x14ac:dyDescent="0.2">
      <c r="A197" s="9" t="s">
        <v>13</v>
      </c>
      <c r="B197" s="7" t="s">
        <v>13</v>
      </c>
      <c r="F197" s="21"/>
      <c r="G197" s="8"/>
    </row>
    <row r="198" spans="1:41" x14ac:dyDescent="0.2">
      <c r="A198" s="9"/>
      <c r="B198" s="9"/>
      <c r="F198" s="21"/>
      <c r="G198" s="8"/>
    </row>
    <row r="199" spans="1:41" ht="12.75" x14ac:dyDescent="0.2">
      <c r="A199" s="58" t="s">
        <v>304</v>
      </c>
      <c r="B199" s="58" t="s">
        <v>348</v>
      </c>
      <c r="C199" s="11">
        <v>122.76000000000002</v>
      </c>
      <c r="D199" s="11">
        <v>122.14</v>
      </c>
      <c r="E199" s="11">
        <v>122.14</v>
      </c>
      <c r="F199" s="248">
        <v>40</v>
      </c>
      <c r="G199" s="12">
        <v>0</v>
      </c>
      <c r="H199" s="12">
        <v>122.76</v>
      </c>
      <c r="I199" s="12">
        <v>0</v>
      </c>
      <c r="J199" s="12">
        <v>0</v>
      </c>
      <c r="K199" s="12">
        <v>122.76</v>
      </c>
      <c r="L199" s="12">
        <v>0</v>
      </c>
      <c r="M199" s="13">
        <v>244.28</v>
      </c>
      <c r="N199" s="13">
        <v>122.14</v>
      </c>
      <c r="O199" s="13">
        <v>122.14</v>
      </c>
      <c r="P199" s="13">
        <v>122.14</v>
      </c>
      <c r="Q199" s="13">
        <v>0</v>
      </c>
      <c r="R199" s="13">
        <v>122.14</v>
      </c>
      <c r="S199" s="12">
        <f t="shared" ref="S199:S236" si="84">SUM(G199:R199)</f>
        <v>978.36</v>
      </c>
      <c r="U199" s="13">
        <f t="shared" ref="U199:U262" si="85">IFERROR(G199/$C199,0)</f>
        <v>0</v>
      </c>
      <c r="V199" s="13">
        <f t="shared" ref="V199:V262" si="86">IFERROR(H199/$C199,0)</f>
        <v>0.99999999999999989</v>
      </c>
      <c r="W199" s="13">
        <f t="shared" ref="W199:W262" si="87">IFERROR(I199/$C199,0)</f>
        <v>0</v>
      </c>
      <c r="X199" s="13">
        <f t="shared" ref="X199:AB215" si="88">IFERROR(J199/$D199,0)</f>
        <v>0</v>
      </c>
      <c r="Y199" s="13">
        <f t="shared" si="88"/>
        <v>1.0050761421319798</v>
      </c>
      <c r="Z199" s="13">
        <f t="shared" si="88"/>
        <v>0</v>
      </c>
      <c r="AA199" s="13">
        <f t="shared" si="88"/>
        <v>2</v>
      </c>
      <c r="AB199" s="13">
        <f t="shared" si="88"/>
        <v>1</v>
      </c>
      <c r="AC199" s="13">
        <f>IFERROR(O199/$E199,0)</f>
        <v>1</v>
      </c>
      <c r="AD199" s="13">
        <f t="shared" ref="AD199:AD262" si="89">IFERROR(P199/$E199,0)</f>
        <v>1</v>
      </c>
      <c r="AE199" s="13">
        <f t="shared" ref="AE199:AE262" si="90">IFERROR(Q199/$E199,0)</f>
        <v>0</v>
      </c>
      <c r="AF199" s="13">
        <f t="shared" ref="AF199:AF262" si="91">IFERROR(R199/$E199,0)</f>
        <v>1</v>
      </c>
      <c r="AG199" s="15">
        <f t="shared" ref="AG199:AG236" si="92">IFERROR(AVERAGE(U199:AF199),0)</f>
        <v>0.66708967851099832</v>
      </c>
      <c r="AH199" s="15">
        <f t="shared" ref="AH199:AH231" si="93">+SUM(U199:AF199)</f>
        <v>8.0050761421319798</v>
      </c>
    </row>
    <row r="200" spans="1:41" ht="12.75" x14ac:dyDescent="0.2">
      <c r="A200" s="58" t="s">
        <v>305</v>
      </c>
      <c r="B200" s="58" t="s">
        <v>349</v>
      </c>
      <c r="C200" s="11">
        <v>122.76000000000002</v>
      </c>
      <c r="D200" s="11">
        <v>122.14</v>
      </c>
      <c r="E200" s="11">
        <v>122.14</v>
      </c>
      <c r="F200" s="248">
        <v>40</v>
      </c>
      <c r="G200" s="12">
        <v>7488.3600000000006</v>
      </c>
      <c r="H200" s="12">
        <v>9820.7999999999993</v>
      </c>
      <c r="I200" s="12">
        <v>9820.8000000000011</v>
      </c>
      <c r="J200" s="12">
        <v>9084.24</v>
      </c>
      <c r="K200" s="12">
        <v>10066.32</v>
      </c>
      <c r="L200" s="12">
        <v>8061.2400000000007</v>
      </c>
      <c r="M200" s="13">
        <v>9160.5</v>
      </c>
      <c r="N200" s="13">
        <v>7694.8200000000006</v>
      </c>
      <c r="O200" s="13">
        <v>8183.38</v>
      </c>
      <c r="P200" s="13">
        <v>6839.8399999999992</v>
      </c>
      <c r="Q200" s="13">
        <v>7206.2599999999993</v>
      </c>
      <c r="R200" s="13">
        <v>9404.7799999999988</v>
      </c>
      <c r="S200" s="12">
        <f t="shared" si="84"/>
        <v>102831.34</v>
      </c>
      <c r="U200" s="13">
        <f t="shared" si="85"/>
        <v>60.999999999999993</v>
      </c>
      <c r="V200" s="13">
        <f t="shared" si="86"/>
        <v>79.999999999999986</v>
      </c>
      <c r="W200" s="13">
        <f t="shared" si="87"/>
        <v>80</v>
      </c>
      <c r="X200" s="13">
        <f t="shared" si="88"/>
        <v>74.3756345177665</v>
      </c>
      <c r="Y200" s="13">
        <f t="shared" si="88"/>
        <v>82.416243654822338</v>
      </c>
      <c r="Z200" s="13">
        <f t="shared" si="88"/>
        <v>66</v>
      </c>
      <c r="AA200" s="13">
        <f t="shared" si="88"/>
        <v>75</v>
      </c>
      <c r="AB200" s="13">
        <f t="shared" si="88"/>
        <v>63.000000000000007</v>
      </c>
      <c r="AC200" s="13">
        <f t="shared" ref="AC200:AC262" si="94">IFERROR(O200/$E200,0)</f>
        <v>67</v>
      </c>
      <c r="AD200" s="13">
        <f t="shared" si="89"/>
        <v>55.999999999999993</v>
      </c>
      <c r="AE200" s="13">
        <f t="shared" si="90"/>
        <v>58.999999999999993</v>
      </c>
      <c r="AF200" s="13">
        <f t="shared" si="91"/>
        <v>76.999999999999986</v>
      </c>
      <c r="AG200" s="15">
        <f t="shared" si="92"/>
        <v>70.065989847715727</v>
      </c>
      <c r="AH200" s="15">
        <f t="shared" si="93"/>
        <v>840.79187817258878</v>
      </c>
    </row>
    <row r="201" spans="1:41" ht="12.75" x14ac:dyDescent="0.2">
      <c r="A201" s="58" t="s">
        <v>306</v>
      </c>
      <c r="B201" s="58" t="s">
        <v>350</v>
      </c>
      <c r="C201" s="11">
        <v>127.85</v>
      </c>
      <c r="D201" s="11">
        <v>127.21</v>
      </c>
      <c r="E201" s="11">
        <v>127.21</v>
      </c>
      <c r="F201" s="248">
        <v>40</v>
      </c>
      <c r="G201" s="12">
        <v>7798.85</v>
      </c>
      <c r="H201" s="12">
        <v>11890.05</v>
      </c>
      <c r="I201" s="12">
        <v>10228</v>
      </c>
      <c r="J201" s="12">
        <v>11122.95</v>
      </c>
      <c r="K201" s="12">
        <v>13679.95</v>
      </c>
      <c r="L201" s="12">
        <v>9797.09</v>
      </c>
      <c r="M201" s="13">
        <v>10176.799999999999</v>
      </c>
      <c r="N201" s="13">
        <v>10431.219999999999</v>
      </c>
      <c r="O201" s="13">
        <v>9540.75</v>
      </c>
      <c r="P201" s="13">
        <v>8523.07</v>
      </c>
      <c r="Q201" s="13">
        <v>11448.9</v>
      </c>
      <c r="R201" s="13">
        <v>10304.01</v>
      </c>
      <c r="S201" s="12">
        <f t="shared" si="84"/>
        <v>124941.64</v>
      </c>
      <c r="U201" s="13">
        <f t="shared" si="85"/>
        <v>61.000000000000007</v>
      </c>
      <c r="V201" s="13">
        <f t="shared" si="86"/>
        <v>93</v>
      </c>
      <c r="W201" s="13">
        <f t="shared" si="87"/>
        <v>80</v>
      </c>
      <c r="X201" s="13">
        <f t="shared" si="88"/>
        <v>87.437701438566165</v>
      </c>
      <c r="Y201" s="13">
        <f t="shared" si="88"/>
        <v>107.5383224589262</v>
      </c>
      <c r="Z201" s="13">
        <f t="shared" si="88"/>
        <v>77.015093153054011</v>
      </c>
      <c r="AA201" s="13">
        <f t="shared" si="88"/>
        <v>80</v>
      </c>
      <c r="AB201" s="13">
        <f t="shared" si="88"/>
        <v>82</v>
      </c>
      <c r="AC201" s="13">
        <f t="shared" si="94"/>
        <v>75</v>
      </c>
      <c r="AD201" s="13">
        <f t="shared" si="89"/>
        <v>67</v>
      </c>
      <c r="AE201" s="13">
        <f t="shared" si="90"/>
        <v>90</v>
      </c>
      <c r="AF201" s="13">
        <f t="shared" si="91"/>
        <v>81</v>
      </c>
      <c r="AG201" s="15">
        <f t="shared" si="92"/>
        <v>81.74925975421219</v>
      </c>
      <c r="AH201" s="15">
        <f t="shared" si="93"/>
        <v>980.99111705054634</v>
      </c>
    </row>
    <row r="202" spans="1:41" ht="12.75" x14ac:dyDescent="0.2">
      <c r="A202" s="58" t="s">
        <v>307</v>
      </c>
      <c r="B202" s="58" t="s">
        <v>351</v>
      </c>
      <c r="C202" s="11">
        <v>127.85</v>
      </c>
      <c r="D202" s="11">
        <v>127.21</v>
      </c>
      <c r="E202" s="11">
        <v>127.21</v>
      </c>
      <c r="F202" s="248">
        <v>40</v>
      </c>
      <c r="G202" s="12">
        <v>10355.849999999999</v>
      </c>
      <c r="H202" s="12">
        <v>12401.45</v>
      </c>
      <c r="I202" s="12">
        <v>11762.2</v>
      </c>
      <c r="J202" s="12">
        <v>10483.700000000001</v>
      </c>
      <c r="K202" s="12">
        <v>11250.8</v>
      </c>
      <c r="L202" s="12">
        <v>10178.720000000001</v>
      </c>
      <c r="M202" s="13">
        <v>8141.4400000000005</v>
      </c>
      <c r="N202" s="13">
        <v>9413.5400000000009</v>
      </c>
      <c r="O202" s="13">
        <v>7759.81</v>
      </c>
      <c r="P202" s="13">
        <v>6614.92</v>
      </c>
      <c r="Q202" s="13">
        <v>8523.07</v>
      </c>
      <c r="R202" s="13">
        <v>10176.800000000001</v>
      </c>
      <c r="S202" s="12">
        <f t="shared" si="84"/>
        <v>117062.3</v>
      </c>
      <c r="U202" s="13">
        <f t="shared" si="85"/>
        <v>80.999999999999986</v>
      </c>
      <c r="V202" s="13">
        <f t="shared" si="86"/>
        <v>97.000000000000014</v>
      </c>
      <c r="W202" s="13">
        <f t="shared" si="87"/>
        <v>92.000000000000014</v>
      </c>
      <c r="X202" s="13">
        <f t="shared" si="88"/>
        <v>82.412546183476152</v>
      </c>
      <c r="Y202" s="13">
        <f t="shared" si="88"/>
        <v>88.442732489584145</v>
      </c>
      <c r="Z202" s="13">
        <f t="shared" si="88"/>
        <v>80.015093153054025</v>
      </c>
      <c r="AA202" s="13">
        <f t="shared" si="88"/>
        <v>64.000000000000014</v>
      </c>
      <c r="AB202" s="13">
        <f t="shared" si="88"/>
        <v>74.000000000000014</v>
      </c>
      <c r="AC202" s="13">
        <f t="shared" si="94"/>
        <v>61.000000000000007</v>
      </c>
      <c r="AD202" s="13">
        <f t="shared" si="89"/>
        <v>52</v>
      </c>
      <c r="AE202" s="13">
        <f t="shared" si="90"/>
        <v>67</v>
      </c>
      <c r="AF202" s="13">
        <f t="shared" si="91"/>
        <v>80.000000000000014</v>
      </c>
      <c r="AG202" s="15">
        <f t="shared" si="92"/>
        <v>76.57253098550953</v>
      </c>
      <c r="AH202" s="15">
        <f t="shared" si="93"/>
        <v>918.87037182611436</v>
      </c>
    </row>
    <row r="203" spans="1:41" ht="12.75" x14ac:dyDescent="0.2">
      <c r="A203" s="58" t="s">
        <v>901</v>
      </c>
      <c r="B203" s="58" t="s">
        <v>912</v>
      </c>
      <c r="C203" s="11">
        <v>122.76000000000002</v>
      </c>
      <c r="D203" s="11">
        <v>122.14</v>
      </c>
      <c r="E203" s="11">
        <v>122.14</v>
      </c>
      <c r="F203" s="248">
        <v>40</v>
      </c>
      <c r="G203" s="12">
        <v>0</v>
      </c>
      <c r="H203" s="12">
        <v>0</v>
      </c>
      <c r="I203" s="12">
        <v>122.76</v>
      </c>
      <c r="J203" s="12">
        <v>0</v>
      </c>
      <c r="K203" s="12">
        <v>0</v>
      </c>
      <c r="L203" s="12">
        <v>0</v>
      </c>
      <c r="M203" s="13">
        <v>0</v>
      </c>
      <c r="N203" s="13">
        <v>0</v>
      </c>
      <c r="O203" s="13">
        <v>0</v>
      </c>
      <c r="P203" s="13">
        <v>0</v>
      </c>
      <c r="Q203" s="13">
        <v>0</v>
      </c>
      <c r="R203" s="13">
        <v>0</v>
      </c>
      <c r="S203" s="12">
        <f>SUM(G203:R203)</f>
        <v>122.76</v>
      </c>
      <c r="U203" s="13">
        <f t="shared" si="85"/>
        <v>0</v>
      </c>
      <c r="V203" s="13">
        <f t="shared" si="86"/>
        <v>0</v>
      </c>
      <c r="W203" s="13">
        <f t="shared" si="87"/>
        <v>0.99999999999999989</v>
      </c>
      <c r="X203" s="13">
        <f>IFERROR(J203/$D203,0)</f>
        <v>0</v>
      </c>
      <c r="Y203" s="13">
        <f>IFERROR(K203/$D203,0)</f>
        <v>0</v>
      </c>
      <c r="Z203" s="13">
        <f>IFERROR(L203/$D203,0)</f>
        <v>0</v>
      </c>
      <c r="AA203" s="13">
        <f>IFERROR(M203/$D203,0)</f>
        <v>0</v>
      </c>
      <c r="AB203" s="13">
        <f>IFERROR(N203/$D203,0)</f>
        <v>0</v>
      </c>
      <c r="AC203" s="13">
        <f t="shared" si="94"/>
        <v>0</v>
      </c>
      <c r="AD203" s="13">
        <f t="shared" si="89"/>
        <v>0</v>
      </c>
      <c r="AE203" s="13">
        <f t="shared" si="90"/>
        <v>0</v>
      </c>
      <c r="AF203" s="13">
        <f t="shared" si="91"/>
        <v>0</v>
      </c>
      <c r="AG203" s="15">
        <f>IFERROR(AVERAGE(U203:AF203),0)</f>
        <v>8.3333333333333329E-2</v>
      </c>
      <c r="AH203" s="15">
        <f>+SUM(U203:AF203)</f>
        <v>0.99999999999999989</v>
      </c>
    </row>
    <row r="204" spans="1:41" ht="12.75" x14ac:dyDescent="0.2">
      <c r="A204" s="58" t="s">
        <v>308</v>
      </c>
      <c r="B204" s="58" t="s">
        <v>352</v>
      </c>
      <c r="C204" s="11">
        <v>122.76000000000002</v>
      </c>
      <c r="D204" s="11">
        <v>122.14</v>
      </c>
      <c r="E204" s="11">
        <v>122.14</v>
      </c>
      <c r="F204" s="248">
        <v>40</v>
      </c>
      <c r="G204" s="12">
        <v>0</v>
      </c>
      <c r="H204" s="12">
        <v>0</v>
      </c>
      <c r="I204" s="12">
        <v>0</v>
      </c>
      <c r="J204" s="12">
        <v>0</v>
      </c>
      <c r="K204" s="12">
        <v>0</v>
      </c>
      <c r="L204" s="12">
        <v>122.14</v>
      </c>
      <c r="M204" s="13">
        <v>0</v>
      </c>
      <c r="N204" s="13">
        <v>0</v>
      </c>
      <c r="O204" s="13">
        <v>0</v>
      </c>
      <c r="P204" s="13">
        <v>122.14</v>
      </c>
      <c r="Q204" s="13">
        <v>0</v>
      </c>
      <c r="R204" s="13">
        <v>-181.09</v>
      </c>
      <c r="S204" s="12">
        <f t="shared" si="84"/>
        <v>63.19</v>
      </c>
      <c r="U204" s="13">
        <f t="shared" si="85"/>
        <v>0</v>
      </c>
      <c r="V204" s="13">
        <f t="shared" si="86"/>
        <v>0</v>
      </c>
      <c r="W204" s="13">
        <f t="shared" si="87"/>
        <v>0</v>
      </c>
      <c r="X204" s="13">
        <f t="shared" si="88"/>
        <v>0</v>
      </c>
      <c r="Y204" s="13">
        <f t="shared" si="88"/>
        <v>0</v>
      </c>
      <c r="Z204" s="13">
        <f t="shared" si="88"/>
        <v>1</v>
      </c>
      <c r="AA204" s="13">
        <f t="shared" si="88"/>
        <v>0</v>
      </c>
      <c r="AB204" s="13">
        <f t="shared" si="88"/>
        <v>0</v>
      </c>
      <c r="AC204" s="13">
        <f t="shared" si="94"/>
        <v>0</v>
      </c>
      <c r="AD204" s="13">
        <f t="shared" si="89"/>
        <v>1</v>
      </c>
      <c r="AE204" s="13">
        <f t="shared" si="90"/>
        <v>0</v>
      </c>
      <c r="AF204" s="13">
        <f t="shared" si="91"/>
        <v>-1.4826428688390372</v>
      </c>
      <c r="AG204" s="15">
        <f t="shared" si="92"/>
        <v>4.3113094263413566E-2</v>
      </c>
      <c r="AH204" s="15">
        <f t="shared" si="93"/>
        <v>0.51735713116096282</v>
      </c>
    </row>
    <row r="205" spans="1:41" ht="12.75" x14ac:dyDescent="0.2">
      <c r="A205" s="58" t="s">
        <v>309</v>
      </c>
      <c r="B205" s="58" t="s">
        <v>353</v>
      </c>
      <c r="C205" s="11">
        <v>127.85</v>
      </c>
      <c r="D205" s="11">
        <v>127.21</v>
      </c>
      <c r="E205" s="11">
        <v>127.21</v>
      </c>
      <c r="F205" s="248">
        <v>40</v>
      </c>
      <c r="G205" s="12">
        <v>127.85</v>
      </c>
      <c r="H205" s="12">
        <v>171.88</v>
      </c>
      <c r="I205" s="12">
        <v>0</v>
      </c>
      <c r="J205" s="12">
        <v>0</v>
      </c>
      <c r="K205" s="12">
        <v>0</v>
      </c>
      <c r="L205" s="12">
        <v>0</v>
      </c>
      <c r="M205" s="13">
        <v>127.21</v>
      </c>
      <c r="N205" s="13">
        <v>0</v>
      </c>
      <c r="O205" s="13">
        <v>0</v>
      </c>
      <c r="P205" s="13">
        <v>0</v>
      </c>
      <c r="Q205" s="13">
        <v>0</v>
      </c>
      <c r="R205" s="13">
        <v>0</v>
      </c>
      <c r="S205" s="12">
        <f t="shared" si="84"/>
        <v>426.94</v>
      </c>
      <c r="U205" s="13">
        <f t="shared" si="85"/>
        <v>1</v>
      </c>
      <c r="V205" s="13">
        <f t="shared" si="86"/>
        <v>1.3443879546343371</v>
      </c>
      <c r="W205" s="13">
        <f t="shared" si="87"/>
        <v>0</v>
      </c>
      <c r="X205" s="13">
        <f t="shared" si="88"/>
        <v>0</v>
      </c>
      <c r="Y205" s="13">
        <f t="shared" si="88"/>
        <v>0</v>
      </c>
      <c r="Z205" s="13">
        <f t="shared" si="88"/>
        <v>0</v>
      </c>
      <c r="AA205" s="13">
        <f t="shared" si="88"/>
        <v>1</v>
      </c>
      <c r="AB205" s="13">
        <f t="shared" si="88"/>
        <v>0</v>
      </c>
      <c r="AC205" s="13">
        <f t="shared" si="94"/>
        <v>0</v>
      </c>
      <c r="AD205" s="13">
        <f t="shared" si="89"/>
        <v>0</v>
      </c>
      <c r="AE205" s="13">
        <f t="shared" si="90"/>
        <v>0</v>
      </c>
      <c r="AF205" s="13">
        <f t="shared" si="91"/>
        <v>0</v>
      </c>
      <c r="AG205" s="15">
        <f t="shared" si="92"/>
        <v>0.27869899621952809</v>
      </c>
      <c r="AH205" s="15">
        <f t="shared" si="93"/>
        <v>3.3443879546343371</v>
      </c>
    </row>
    <row r="206" spans="1:41" ht="12.75" x14ac:dyDescent="0.2">
      <c r="A206" s="58" t="s">
        <v>310</v>
      </c>
      <c r="B206" s="58" t="s">
        <v>354</v>
      </c>
      <c r="C206" s="11">
        <v>127.85</v>
      </c>
      <c r="D206" s="11">
        <v>127.21</v>
      </c>
      <c r="E206" s="11">
        <v>127.21</v>
      </c>
      <c r="F206" s="248">
        <v>40</v>
      </c>
      <c r="G206" s="12">
        <v>127.85</v>
      </c>
      <c r="H206" s="12">
        <v>127.85</v>
      </c>
      <c r="I206" s="12">
        <v>0</v>
      </c>
      <c r="J206" s="12">
        <v>0</v>
      </c>
      <c r="K206" s="12">
        <v>0</v>
      </c>
      <c r="L206" s="12">
        <v>0</v>
      </c>
      <c r="M206" s="13">
        <v>127.21</v>
      </c>
      <c r="N206" s="13">
        <v>0</v>
      </c>
      <c r="O206" s="13">
        <v>0</v>
      </c>
      <c r="P206" s="13">
        <v>127.21</v>
      </c>
      <c r="Q206" s="13">
        <v>0</v>
      </c>
      <c r="R206" s="13">
        <v>0</v>
      </c>
      <c r="S206" s="12">
        <f t="shared" si="84"/>
        <v>510.11999999999995</v>
      </c>
      <c r="U206" s="13">
        <f t="shared" si="85"/>
        <v>1</v>
      </c>
      <c r="V206" s="13">
        <f t="shared" si="86"/>
        <v>1</v>
      </c>
      <c r="W206" s="13">
        <f t="shared" si="87"/>
        <v>0</v>
      </c>
      <c r="X206" s="13">
        <f t="shared" si="88"/>
        <v>0</v>
      </c>
      <c r="Y206" s="13">
        <f t="shared" si="88"/>
        <v>0</v>
      </c>
      <c r="Z206" s="13">
        <f t="shared" si="88"/>
        <v>0</v>
      </c>
      <c r="AA206" s="13">
        <f t="shared" si="88"/>
        <v>1</v>
      </c>
      <c r="AB206" s="13">
        <f t="shared" si="88"/>
        <v>0</v>
      </c>
      <c r="AC206" s="13">
        <f t="shared" si="94"/>
        <v>0</v>
      </c>
      <c r="AD206" s="13">
        <f t="shared" si="89"/>
        <v>1</v>
      </c>
      <c r="AE206" s="13">
        <f t="shared" si="90"/>
        <v>0</v>
      </c>
      <c r="AF206" s="13">
        <f t="shared" si="91"/>
        <v>0</v>
      </c>
      <c r="AG206" s="15">
        <f t="shared" si="92"/>
        <v>0.33333333333333331</v>
      </c>
      <c r="AH206" s="15">
        <f t="shared" si="93"/>
        <v>4</v>
      </c>
    </row>
    <row r="207" spans="1:41" ht="12.75" x14ac:dyDescent="0.2">
      <c r="A207" s="58" t="s">
        <v>311</v>
      </c>
      <c r="B207" s="58" t="s">
        <v>356</v>
      </c>
      <c r="C207" s="11">
        <v>122.76000000000002</v>
      </c>
      <c r="D207" s="11">
        <v>122.76000000000002</v>
      </c>
      <c r="E207" s="11">
        <v>122.76000000000002</v>
      </c>
      <c r="F207" s="248">
        <v>40</v>
      </c>
      <c r="G207" s="12">
        <v>122.76</v>
      </c>
      <c r="H207" s="12">
        <v>368.28000000000003</v>
      </c>
      <c r="I207" s="12">
        <v>122.76</v>
      </c>
      <c r="J207" s="12">
        <v>0</v>
      </c>
      <c r="K207" s="12">
        <v>122.76</v>
      </c>
      <c r="L207" s="12">
        <v>0</v>
      </c>
      <c r="M207" s="13">
        <v>122.14</v>
      </c>
      <c r="N207" s="13">
        <v>0</v>
      </c>
      <c r="O207" s="13">
        <v>0</v>
      </c>
      <c r="P207" s="13">
        <v>0</v>
      </c>
      <c r="Q207" s="13">
        <v>0</v>
      </c>
      <c r="R207" s="13">
        <v>0</v>
      </c>
      <c r="S207" s="12">
        <f t="shared" si="84"/>
        <v>858.7</v>
      </c>
      <c r="U207" s="13">
        <f t="shared" si="85"/>
        <v>0.99999999999999989</v>
      </c>
      <c r="V207" s="13">
        <f t="shared" si="86"/>
        <v>2.9999999999999996</v>
      </c>
      <c r="W207" s="13">
        <f t="shared" si="87"/>
        <v>0.99999999999999989</v>
      </c>
      <c r="X207" s="13">
        <f t="shared" si="88"/>
        <v>0</v>
      </c>
      <c r="Y207" s="13">
        <f t="shared" si="88"/>
        <v>0.99999999999999989</v>
      </c>
      <c r="Z207" s="13">
        <f t="shared" si="88"/>
        <v>0</v>
      </c>
      <c r="AA207" s="13">
        <f t="shared" si="88"/>
        <v>0.99494949494949481</v>
      </c>
      <c r="AB207" s="13">
        <f t="shared" si="88"/>
        <v>0</v>
      </c>
      <c r="AC207" s="13">
        <f t="shared" si="94"/>
        <v>0</v>
      </c>
      <c r="AD207" s="13">
        <f t="shared" si="89"/>
        <v>0</v>
      </c>
      <c r="AE207" s="13">
        <f t="shared" si="90"/>
        <v>0</v>
      </c>
      <c r="AF207" s="13">
        <f t="shared" si="91"/>
        <v>0</v>
      </c>
      <c r="AG207" s="15">
        <f t="shared" si="92"/>
        <v>0.58291245791245783</v>
      </c>
      <c r="AH207" s="15">
        <f t="shared" si="93"/>
        <v>6.9949494949494939</v>
      </c>
    </row>
    <row r="208" spans="1:41" ht="12.75" x14ac:dyDescent="0.2">
      <c r="A208" s="58" t="s">
        <v>312</v>
      </c>
      <c r="B208" s="58" t="s">
        <v>357</v>
      </c>
      <c r="C208" s="11">
        <v>127.85</v>
      </c>
      <c r="D208" s="11">
        <v>127.21</v>
      </c>
      <c r="E208" s="11">
        <v>127.21</v>
      </c>
      <c r="F208" s="248">
        <v>40</v>
      </c>
      <c r="G208" s="12">
        <v>127.85</v>
      </c>
      <c r="H208" s="12">
        <v>127.85</v>
      </c>
      <c r="I208" s="12">
        <v>0</v>
      </c>
      <c r="J208" s="12">
        <v>0</v>
      </c>
      <c r="K208" s="12">
        <v>0</v>
      </c>
      <c r="L208" s="12">
        <v>127.21</v>
      </c>
      <c r="M208" s="13">
        <v>127.21</v>
      </c>
      <c r="N208" s="13">
        <v>0</v>
      </c>
      <c r="O208" s="13">
        <v>0</v>
      </c>
      <c r="P208" s="13">
        <v>0</v>
      </c>
      <c r="Q208" s="13">
        <v>0</v>
      </c>
      <c r="R208" s="13">
        <v>127.21</v>
      </c>
      <c r="S208" s="12">
        <f t="shared" si="84"/>
        <v>637.32999999999993</v>
      </c>
      <c r="U208" s="13">
        <f t="shared" si="85"/>
        <v>1</v>
      </c>
      <c r="V208" s="13">
        <f t="shared" si="86"/>
        <v>1</v>
      </c>
      <c r="W208" s="13">
        <f t="shared" si="87"/>
        <v>0</v>
      </c>
      <c r="X208" s="13">
        <f t="shared" si="88"/>
        <v>0</v>
      </c>
      <c r="Y208" s="13">
        <f t="shared" si="88"/>
        <v>0</v>
      </c>
      <c r="Z208" s="13">
        <f t="shared" si="88"/>
        <v>1</v>
      </c>
      <c r="AA208" s="13">
        <f t="shared" si="88"/>
        <v>1</v>
      </c>
      <c r="AB208" s="13">
        <f t="shared" si="88"/>
        <v>0</v>
      </c>
      <c r="AC208" s="13">
        <f t="shared" si="94"/>
        <v>0</v>
      </c>
      <c r="AD208" s="13">
        <f t="shared" si="89"/>
        <v>0</v>
      </c>
      <c r="AE208" s="13">
        <f t="shared" si="90"/>
        <v>0</v>
      </c>
      <c r="AF208" s="13">
        <f t="shared" si="91"/>
        <v>1</v>
      </c>
      <c r="AG208" s="15">
        <f t="shared" si="92"/>
        <v>0.41666666666666669</v>
      </c>
      <c r="AH208" s="15">
        <f t="shared" si="93"/>
        <v>5</v>
      </c>
    </row>
    <row r="209" spans="1:34" ht="12.75" x14ac:dyDescent="0.2">
      <c r="A209" s="58" t="s">
        <v>313</v>
      </c>
      <c r="B209" s="58" t="s">
        <v>358</v>
      </c>
      <c r="C209" s="11">
        <v>127.85</v>
      </c>
      <c r="D209" s="11">
        <v>127.21</v>
      </c>
      <c r="E209" s="11">
        <v>127.21</v>
      </c>
      <c r="F209" s="248">
        <v>40</v>
      </c>
      <c r="G209" s="12">
        <v>0</v>
      </c>
      <c r="H209" s="12">
        <v>0</v>
      </c>
      <c r="I209" s="12">
        <v>0</v>
      </c>
      <c r="J209" s="12">
        <v>0</v>
      </c>
      <c r="K209" s="12">
        <v>127.85</v>
      </c>
      <c r="L209" s="12">
        <v>0</v>
      </c>
      <c r="M209" s="13">
        <v>0</v>
      </c>
      <c r="N209" s="13">
        <v>0</v>
      </c>
      <c r="O209" s="13">
        <v>0</v>
      </c>
      <c r="P209" s="13">
        <v>0</v>
      </c>
      <c r="Q209" s="13">
        <v>0</v>
      </c>
      <c r="R209" s="13">
        <v>0</v>
      </c>
      <c r="S209" s="12">
        <f t="shared" si="84"/>
        <v>127.85</v>
      </c>
      <c r="U209" s="13">
        <f t="shared" si="85"/>
        <v>0</v>
      </c>
      <c r="V209" s="13">
        <f t="shared" si="86"/>
        <v>0</v>
      </c>
      <c r="W209" s="13">
        <f t="shared" si="87"/>
        <v>0</v>
      </c>
      <c r="X209" s="13">
        <f t="shared" si="88"/>
        <v>0</v>
      </c>
      <c r="Y209" s="13">
        <f t="shared" si="88"/>
        <v>1.0050310510180018</v>
      </c>
      <c r="Z209" s="13">
        <f t="shared" si="88"/>
        <v>0</v>
      </c>
      <c r="AA209" s="13">
        <f t="shared" si="88"/>
        <v>0</v>
      </c>
      <c r="AB209" s="13">
        <f t="shared" si="88"/>
        <v>0</v>
      </c>
      <c r="AC209" s="13">
        <f t="shared" si="94"/>
        <v>0</v>
      </c>
      <c r="AD209" s="13">
        <f t="shared" si="89"/>
        <v>0</v>
      </c>
      <c r="AE209" s="13">
        <f t="shared" si="90"/>
        <v>0</v>
      </c>
      <c r="AF209" s="13">
        <f t="shared" si="91"/>
        <v>0</v>
      </c>
      <c r="AG209" s="15">
        <f t="shared" si="92"/>
        <v>8.3752587584833491E-2</v>
      </c>
      <c r="AH209" s="15">
        <f t="shared" si="93"/>
        <v>1.0050310510180018</v>
      </c>
    </row>
    <row r="210" spans="1:34" ht="12.75" x14ac:dyDescent="0.2">
      <c r="A210" s="58" t="s">
        <v>314</v>
      </c>
      <c r="B210" s="58" t="s">
        <v>359</v>
      </c>
      <c r="C210" s="11">
        <v>122.76000000000002</v>
      </c>
      <c r="D210" s="11">
        <v>122.14</v>
      </c>
      <c r="E210" s="11">
        <v>122.14</v>
      </c>
      <c r="F210" s="248">
        <v>40</v>
      </c>
      <c r="G210" s="12">
        <v>368.28000000000003</v>
      </c>
      <c r="H210" s="12">
        <v>736.56</v>
      </c>
      <c r="I210" s="12">
        <v>613.79999999999995</v>
      </c>
      <c r="J210" s="12">
        <v>491.04</v>
      </c>
      <c r="K210" s="12">
        <v>0</v>
      </c>
      <c r="L210" s="12">
        <v>610.70000000000005</v>
      </c>
      <c r="M210" s="13">
        <v>122.14</v>
      </c>
      <c r="N210" s="13">
        <v>244.28</v>
      </c>
      <c r="O210" s="13">
        <v>122.14</v>
      </c>
      <c r="P210" s="13">
        <v>122.14</v>
      </c>
      <c r="Q210" s="13">
        <v>122.14</v>
      </c>
      <c r="R210" s="13">
        <v>0</v>
      </c>
      <c r="S210" s="12">
        <f t="shared" si="84"/>
        <v>3553.22</v>
      </c>
      <c r="U210" s="13">
        <f t="shared" si="85"/>
        <v>2.9999999999999996</v>
      </c>
      <c r="V210" s="13">
        <f t="shared" si="86"/>
        <v>5.9999999999999982</v>
      </c>
      <c r="W210" s="13">
        <f t="shared" si="87"/>
        <v>4.9999999999999991</v>
      </c>
      <c r="X210" s="13">
        <f t="shared" si="88"/>
        <v>4.0203045685279193</v>
      </c>
      <c r="Y210" s="13">
        <f t="shared" si="88"/>
        <v>0</v>
      </c>
      <c r="Z210" s="13">
        <f t="shared" si="88"/>
        <v>5</v>
      </c>
      <c r="AA210" s="13">
        <f t="shared" si="88"/>
        <v>1</v>
      </c>
      <c r="AB210" s="13">
        <f t="shared" si="88"/>
        <v>2</v>
      </c>
      <c r="AC210" s="13">
        <f t="shared" si="94"/>
        <v>1</v>
      </c>
      <c r="AD210" s="13">
        <f t="shared" si="89"/>
        <v>1</v>
      </c>
      <c r="AE210" s="13">
        <f t="shared" si="90"/>
        <v>1</v>
      </c>
      <c r="AF210" s="13">
        <f t="shared" si="91"/>
        <v>0</v>
      </c>
      <c r="AG210" s="15">
        <f t="shared" si="92"/>
        <v>2.4183587140439928</v>
      </c>
      <c r="AH210" s="15">
        <f t="shared" si="93"/>
        <v>29.020304568527916</v>
      </c>
    </row>
    <row r="211" spans="1:34" ht="12.75" x14ac:dyDescent="0.2">
      <c r="A211" s="58" t="s">
        <v>315</v>
      </c>
      <c r="B211" s="58" t="s">
        <v>360</v>
      </c>
      <c r="C211" s="11">
        <v>122.76000000000002</v>
      </c>
      <c r="D211" s="11">
        <v>122.14</v>
      </c>
      <c r="E211" s="11">
        <v>122.14</v>
      </c>
      <c r="F211" s="248">
        <v>40</v>
      </c>
      <c r="G211" s="12">
        <v>4664.88</v>
      </c>
      <c r="H211" s="12">
        <v>10680.119999999999</v>
      </c>
      <c r="I211" s="12">
        <v>8838.7200000000012</v>
      </c>
      <c r="J211" s="12">
        <v>6751.8000000000011</v>
      </c>
      <c r="K211" s="12">
        <v>8838.7199999999993</v>
      </c>
      <c r="L211" s="12">
        <v>7818.2000000000007</v>
      </c>
      <c r="M211" s="13">
        <v>7694.82</v>
      </c>
      <c r="N211" s="13">
        <v>8305.52</v>
      </c>
      <c r="O211" s="13">
        <v>6473.4199999999992</v>
      </c>
      <c r="P211" s="13">
        <v>6717.7</v>
      </c>
      <c r="Q211" s="13">
        <v>7816.96</v>
      </c>
      <c r="R211" s="13">
        <v>8339.7200000000012</v>
      </c>
      <c r="S211" s="12">
        <f t="shared" si="84"/>
        <v>92940.58</v>
      </c>
      <c r="U211" s="13">
        <f t="shared" si="85"/>
        <v>37.999999999999993</v>
      </c>
      <c r="V211" s="13">
        <f t="shared" si="86"/>
        <v>86.999999999999972</v>
      </c>
      <c r="W211" s="13">
        <f t="shared" si="87"/>
        <v>72</v>
      </c>
      <c r="X211" s="13">
        <f t="shared" si="88"/>
        <v>55.279187817258894</v>
      </c>
      <c r="Y211" s="13">
        <f t="shared" si="88"/>
        <v>72.365482233502533</v>
      </c>
      <c r="Z211" s="13">
        <f t="shared" si="88"/>
        <v>64.010152284263967</v>
      </c>
      <c r="AA211" s="13">
        <f t="shared" si="88"/>
        <v>63</v>
      </c>
      <c r="AB211" s="13">
        <f t="shared" si="88"/>
        <v>68</v>
      </c>
      <c r="AC211" s="13">
        <f t="shared" si="94"/>
        <v>52.999999999999993</v>
      </c>
      <c r="AD211" s="13">
        <f t="shared" si="89"/>
        <v>55</v>
      </c>
      <c r="AE211" s="13">
        <f t="shared" si="90"/>
        <v>64</v>
      </c>
      <c r="AF211" s="13">
        <f t="shared" si="91"/>
        <v>68.280006549860829</v>
      </c>
      <c r="AG211" s="15">
        <f t="shared" si="92"/>
        <v>63.32790240707385</v>
      </c>
      <c r="AH211" s="15">
        <f t="shared" si="93"/>
        <v>759.9348288848862</v>
      </c>
    </row>
    <row r="212" spans="1:34" ht="12.75" x14ac:dyDescent="0.2">
      <c r="A212" s="58" t="s">
        <v>316</v>
      </c>
      <c r="B212" s="58" t="s">
        <v>361</v>
      </c>
      <c r="C212" s="11">
        <v>127.85</v>
      </c>
      <c r="D212" s="11">
        <v>127.21</v>
      </c>
      <c r="E212" s="11">
        <v>127.21</v>
      </c>
      <c r="F212" s="248">
        <v>40</v>
      </c>
      <c r="G212" s="12">
        <v>4091.2</v>
      </c>
      <c r="H212" s="12">
        <v>10228</v>
      </c>
      <c r="I212" s="12">
        <v>8310.25</v>
      </c>
      <c r="J212" s="12">
        <v>9205.2000000000007</v>
      </c>
      <c r="K212" s="12">
        <v>8693.7999999999993</v>
      </c>
      <c r="L212" s="12">
        <v>10561.630000000001</v>
      </c>
      <c r="M212" s="13">
        <v>9413.5400000000009</v>
      </c>
      <c r="N212" s="13">
        <v>7250.9699999999993</v>
      </c>
      <c r="O212" s="13">
        <v>6742.130000000001</v>
      </c>
      <c r="P212" s="13">
        <v>6742.13</v>
      </c>
      <c r="Q212" s="13">
        <v>8395.8599999999988</v>
      </c>
      <c r="R212" s="13">
        <v>8777.49</v>
      </c>
      <c r="S212" s="12">
        <f t="shared" si="84"/>
        <v>98412.200000000012</v>
      </c>
      <c r="U212" s="13">
        <f t="shared" si="85"/>
        <v>32</v>
      </c>
      <c r="V212" s="13">
        <f t="shared" si="86"/>
        <v>80</v>
      </c>
      <c r="W212" s="13">
        <f t="shared" si="87"/>
        <v>65</v>
      </c>
      <c r="X212" s="13">
        <f t="shared" si="88"/>
        <v>72.362235673296141</v>
      </c>
      <c r="Y212" s="13">
        <f t="shared" si="88"/>
        <v>68.342111469224122</v>
      </c>
      <c r="Z212" s="13">
        <f t="shared" si="88"/>
        <v>83.025155255090027</v>
      </c>
      <c r="AA212" s="13">
        <f t="shared" si="88"/>
        <v>74.000000000000014</v>
      </c>
      <c r="AB212" s="13">
        <f t="shared" si="88"/>
        <v>57</v>
      </c>
      <c r="AC212" s="13">
        <f t="shared" si="94"/>
        <v>53.000000000000007</v>
      </c>
      <c r="AD212" s="13">
        <f t="shared" si="89"/>
        <v>53</v>
      </c>
      <c r="AE212" s="13">
        <f t="shared" si="90"/>
        <v>66</v>
      </c>
      <c r="AF212" s="13">
        <f t="shared" si="91"/>
        <v>69</v>
      </c>
      <c r="AG212" s="15">
        <f t="shared" si="92"/>
        <v>64.394125199800854</v>
      </c>
      <c r="AH212" s="15">
        <f t="shared" si="93"/>
        <v>772.7295023976103</v>
      </c>
    </row>
    <row r="213" spans="1:34" ht="12.75" x14ac:dyDescent="0.2">
      <c r="A213" s="58" t="s">
        <v>713</v>
      </c>
      <c r="B213" s="58" t="s">
        <v>350</v>
      </c>
      <c r="C213" s="11">
        <v>127.85</v>
      </c>
      <c r="D213" s="11">
        <v>127.21</v>
      </c>
      <c r="E213" s="11">
        <v>127.21</v>
      </c>
      <c r="F213" s="248">
        <v>40</v>
      </c>
      <c r="G213" s="12">
        <v>0</v>
      </c>
      <c r="H213" s="12">
        <v>0</v>
      </c>
      <c r="I213" s="12">
        <v>0</v>
      </c>
      <c r="J213" s="12">
        <v>0</v>
      </c>
      <c r="K213" s="12">
        <v>0</v>
      </c>
      <c r="L213" s="12">
        <v>0</v>
      </c>
      <c r="M213" s="13">
        <v>0</v>
      </c>
      <c r="N213" s="13">
        <v>0</v>
      </c>
      <c r="O213" s="13">
        <v>0</v>
      </c>
      <c r="P213" s="13">
        <v>0</v>
      </c>
      <c r="Q213" s="13">
        <v>0</v>
      </c>
      <c r="R213" s="13">
        <v>0</v>
      </c>
      <c r="S213" s="12">
        <f t="shared" si="84"/>
        <v>0</v>
      </c>
      <c r="U213" s="13">
        <f t="shared" si="85"/>
        <v>0</v>
      </c>
      <c r="V213" s="13">
        <f t="shared" si="86"/>
        <v>0</v>
      </c>
      <c r="W213" s="13">
        <f t="shared" si="87"/>
        <v>0</v>
      </c>
      <c r="X213" s="13">
        <f t="shared" si="88"/>
        <v>0</v>
      </c>
      <c r="Y213" s="13">
        <f t="shared" si="88"/>
        <v>0</v>
      </c>
      <c r="Z213" s="13">
        <f t="shared" si="88"/>
        <v>0</v>
      </c>
      <c r="AA213" s="13">
        <f t="shared" si="88"/>
        <v>0</v>
      </c>
      <c r="AB213" s="13">
        <f t="shared" si="88"/>
        <v>0</v>
      </c>
      <c r="AC213" s="13">
        <f t="shared" si="94"/>
        <v>0</v>
      </c>
      <c r="AD213" s="13">
        <f t="shared" si="89"/>
        <v>0</v>
      </c>
      <c r="AE213" s="13">
        <f t="shared" si="90"/>
        <v>0</v>
      </c>
      <c r="AF213" s="13">
        <f t="shared" si="91"/>
        <v>0</v>
      </c>
      <c r="AG213" s="15">
        <f t="shared" si="92"/>
        <v>0</v>
      </c>
      <c r="AH213" s="15">
        <f t="shared" si="93"/>
        <v>0</v>
      </c>
    </row>
    <row r="214" spans="1:34" ht="12.75" x14ac:dyDescent="0.2">
      <c r="A214" s="58" t="s">
        <v>317</v>
      </c>
      <c r="B214" s="58" t="s">
        <v>362</v>
      </c>
      <c r="C214" s="11">
        <v>127.85</v>
      </c>
      <c r="D214" s="11">
        <v>127.21</v>
      </c>
      <c r="E214" s="11">
        <v>127.21</v>
      </c>
      <c r="F214" s="248">
        <v>40</v>
      </c>
      <c r="G214" s="12">
        <v>10355.849999999999</v>
      </c>
      <c r="H214" s="12">
        <v>13040.7</v>
      </c>
      <c r="I214" s="12">
        <v>21862.35</v>
      </c>
      <c r="J214" s="12">
        <v>18026.849999999999</v>
      </c>
      <c r="K214" s="12">
        <v>15597.7</v>
      </c>
      <c r="L214" s="12">
        <v>11831.81</v>
      </c>
      <c r="M214" s="13">
        <v>12593.79</v>
      </c>
      <c r="N214" s="13">
        <v>12616.58</v>
      </c>
      <c r="O214" s="13">
        <v>9031.91</v>
      </c>
      <c r="P214" s="13">
        <v>7378.18</v>
      </c>
      <c r="Q214" s="13">
        <v>10049.59</v>
      </c>
      <c r="R214" s="13">
        <v>12339.37</v>
      </c>
      <c r="S214" s="12">
        <f t="shared" si="84"/>
        <v>154724.68</v>
      </c>
      <c r="U214" s="13">
        <f t="shared" si="85"/>
        <v>80.999999999999986</v>
      </c>
      <c r="V214" s="13">
        <f t="shared" si="86"/>
        <v>102.00000000000001</v>
      </c>
      <c r="W214" s="13">
        <f t="shared" si="87"/>
        <v>171</v>
      </c>
      <c r="X214" s="13">
        <f t="shared" si="88"/>
        <v>141.70937819353824</v>
      </c>
      <c r="Y214" s="13">
        <f t="shared" si="88"/>
        <v>122.61378822419623</v>
      </c>
      <c r="Z214" s="13">
        <f t="shared" si="88"/>
        <v>93.010062102036002</v>
      </c>
      <c r="AA214" s="13">
        <f t="shared" si="88"/>
        <v>99.000000000000014</v>
      </c>
      <c r="AB214" s="13">
        <f t="shared" si="88"/>
        <v>99.179152582344159</v>
      </c>
      <c r="AC214" s="13">
        <f t="shared" si="94"/>
        <v>71</v>
      </c>
      <c r="AD214" s="13">
        <f t="shared" si="89"/>
        <v>58.000000000000007</v>
      </c>
      <c r="AE214" s="13">
        <f t="shared" si="90"/>
        <v>79</v>
      </c>
      <c r="AF214" s="13">
        <f t="shared" si="91"/>
        <v>97.000000000000014</v>
      </c>
      <c r="AG214" s="15">
        <f t="shared" si="92"/>
        <v>101.20936509184288</v>
      </c>
      <c r="AH214" s="15">
        <f t="shared" si="93"/>
        <v>1214.5123811021147</v>
      </c>
    </row>
    <row r="215" spans="1:34" ht="12.75" x14ac:dyDescent="0.2">
      <c r="A215" s="58" t="s">
        <v>318</v>
      </c>
      <c r="B215" s="58" t="s">
        <v>363</v>
      </c>
      <c r="C215" s="11">
        <v>122.76000000000002</v>
      </c>
      <c r="D215" s="11">
        <v>122.14</v>
      </c>
      <c r="E215" s="11">
        <v>122.14</v>
      </c>
      <c r="F215" s="248">
        <v>40</v>
      </c>
      <c r="G215" s="12">
        <v>491.03999999999996</v>
      </c>
      <c r="H215" s="12">
        <v>491.04</v>
      </c>
      <c r="I215" s="12">
        <v>245.52</v>
      </c>
      <c r="J215" s="12">
        <v>859.31999999999994</v>
      </c>
      <c r="K215" s="12">
        <v>122.76</v>
      </c>
      <c r="L215" s="12">
        <v>488.56</v>
      </c>
      <c r="M215" s="13">
        <v>0</v>
      </c>
      <c r="N215" s="13">
        <v>244.28</v>
      </c>
      <c r="O215" s="13">
        <v>366.42</v>
      </c>
      <c r="P215" s="13">
        <v>122.14</v>
      </c>
      <c r="Q215" s="13">
        <v>0</v>
      </c>
      <c r="R215" s="13">
        <v>122.14</v>
      </c>
      <c r="S215" s="12">
        <f t="shared" si="84"/>
        <v>3553.2200000000003</v>
      </c>
      <c r="U215" s="13">
        <f t="shared" si="85"/>
        <v>3.9999999999999991</v>
      </c>
      <c r="V215" s="13">
        <f t="shared" si="86"/>
        <v>3.9999999999999996</v>
      </c>
      <c r="W215" s="13">
        <f t="shared" si="87"/>
        <v>1.9999999999999998</v>
      </c>
      <c r="X215" s="13">
        <f t="shared" si="88"/>
        <v>7.035532994923857</v>
      </c>
      <c r="Y215" s="13">
        <f t="shared" si="88"/>
        <v>1.0050761421319798</v>
      </c>
      <c r="Z215" s="13">
        <f t="shared" si="88"/>
        <v>4</v>
      </c>
      <c r="AA215" s="13">
        <f t="shared" si="88"/>
        <v>0</v>
      </c>
      <c r="AB215" s="13">
        <f t="shared" si="88"/>
        <v>2</v>
      </c>
      <c r="AC215" s="13">
        <f t="shared" si="94"/>
        <v>3</v>
      </c>
      <c r="AD215" s="13">
        <f t="shared" si="89"/>
        <v>1</v>
      </c>
      <c r="AE215" s="13">
        <f t="shared" si="90"/>
        <v>0</v>
      </c>
      <c r="AF215" s="13">
        <f t="shared" si="91"/>
        <v>1</v>
      </c>
      <c r="AG215" s="15">
        <f t="shared" si="92"/>
        <v>2.4200507614213196</v>
      </c>
      <c r="AH215" s="15">
        <f t="shared" si="93"/>
        <v>29.040609137055835</v>
      </c>
    </row>
    <row r="216" spans="1:34" ht="12.75" x14ac:dyDescent="0.2">
      <c r="A216" s="58" t="s">
        <v>319</v>
      </c>
      <c r="B216" s="58" t="s">
        <v>364</v>
      </c>
      <c r="C216" s="11">
        <v>122.76000000000002</v>
      </c>
      <c r="D216" s="11">
        <v>122.14</v>
      </c>
      <c r="E216" s="11">
        <v>122.14</v>
      </c>
      <c r="F216" s="248">
        <v>40</v>
      </c>
      <c r="G216" s="12">
        <v>6015.24</v>
      </c>
      <c r="H216" s="12">
        <v>9084.24</v>
      </c>
      <c r="I216" s="12">
        <v>10434.6</v>
      </c>
      <c r="J216" s="12">
        <v>10557.36</v>
      </c>
      <c r="K216" s="12">
        <v>11048.4</v>
      </c>
      <c r="L216" s="12">
        <v>10627.42</v>
      </c>
      <c r="M216" s="13">
        <v>7328.4000000000015</v>
      </c>
      <c r="N216" s="13">
        <v>6351.2800000000007</v>
      </c>
      <c r="O216" s="13">
        <v>6107.0000000000009</v>
      </c>
      <c r="P216" s="13">
        <v>4157.83</v>
      </c>
      <c r="Q216" s="13">
        <v>5129.88</v>
      </c>
      <c r="R216" s="13">
        <v>5984.86</v>
      </c>
      <c r="S216" s="12">
        <f t="shared" si="84"/>
        <v>92826.510000000009</v>
      </c>
      <c r="U216" s="13">
        <f t="shared" si="85"/>
        <v>48.999999999999993</v>
      </c>
      <c r="V216" s="13">
        <f t="shared" si="86"/>
        <v>73.999999999999986</v>
      </c>
      <c r="W216" s="13">
        <f t="shared" si="87"/>
        <v>84.999999999999986</v>
      </c>
      <c r="X216" s="13">
        <f t="shared" ref="X216:X264" si="95">IFERROR(J216/$D216,0)</f>
        <v>86.436548223350258</v>
      </c>
      <c r="Y216" s="13">
        <f t="shared" ref="Y216:Y264" si="96">IFERROR(K216/$D216,0)</f>
        <v>90.456852791878163</v>
      </c>
      <c r="Z216" s="13">
        <f t="shared" ref="Z216:Z264" si="97">IFERROR(L216/$D216,0)</f>
        <v>87.010152284263953</v>
      </c>
      <c r="AA216" s="13">
        <f t="shared" ref="AA216:AA264" si="98">IFERROR(M216/$D216,0)</f>
        <v>60.000000000000014</v>
      </c>
      <c r="AB216" s="13">
        <f t="shared" ref="AB216:AB264" si="99">IFERROR(N216/$D216,0)</f>
        <v>52.000000000000007</v>
      </c>
      <c r="AC216" s="13">
        <f t="shared" si="94"/>
        <v>50.000000000000007</v>
      </c>
      <c r="AD216" s="13">
        <f t="shared" si="89"/>
        <v>34.04150974291796</v>
      </c>
      <c r="AE216" s="13">
        <f t="shared" si="90"/>
        <v>42</v>
      </c>
      <c r="AF216" s="13">
        <f t="shared" si="91"/>
        <v>49</v>
      </c>
      <c r="AG216" s="15">
        <f t="shared" si="92"/>
        <v>63.245421920200862</v>
      </c>
      <c r="AH216" s="15">
        <f t="shared" si="93"/>
        <v>758.94506304241031</v>
      </c>
    </row>
    <row r="217" spans="1:34" ht="12.75" x14ac:dyDescent="0.2">
      <c r="A217" s="58" t="s">
        <v>320</v>
      </c>
      <c r="B217" s="58" t="s">
        <v>365</v>
      </c>
      <c r="C217" s="11">
        <v>127.85</v>
      </c>
      <c r="D217" s="11">
        <v>127.21</v>
      </c>
      <c r="E217" s="11">
        <v>127.21</v>
      </c>
      <c r="F217" s="248">
        <v>40</v>
      </c>
      <c r="G217" s="12">
        <v>4858.3</v>
      </c>
      <c r="H217" s="12">
        <v>7543.1500000000005</v>
      </c>
      <c r="I217" s="12">
        <v>9077.3499999999985</v>
      </c>
      <c r="J217" s="12">
        <v>7031.75</v>
      </c>
      <c r="K217" s="12">
        <v>7031.75</v>
      </c>
      <c r="L217" s="12">
        <v>7123.76</v>
      </c>
      <c r="M217" s="13">
        <v>5088.3999999999996</v>
      </c>
      <c r="N217" s="13">
        <v>4706.7699999999995</v>
      </c>
      <c r="O217" s="13">
        <v>4833.9800000000005</v>
      </c>
      <c r="P217" s="13">
        <v>2162.5699999999997</v>
      </c>
      <c r="Q217" s="13">
        <v>4579.5600000000004</v>
      </c>
      <c r="R217" s="13">
        <v>4325.1400000000003</v>
      </c>
      <c r="S217" s="12">
        <f t="shared" si="84"/>
        <v>68362.48000000001</v>
      </c>
      <c r="U217" s="13">
        <f t="shared" si="85"/>
        <v>38</v>
      </c>
      <c r="V217" s="13">
        <f t="shared" si="86"/>
        <v>59.000000000000007</v>
      </c>
      <c r="W217" s="13">
        <f t="shared" si="87"/>
        <v>70.999999999999986</v>
      </c>
      <c r="X217" s="13">
        <f t="shared" si="95"/>
        <v>55.2767078059901</v>
      </c>
      <c r="Y217" s="13">
        <f t="shared" si="96"/>
        <v>55.2767078059901</v>
      </c>
      <c r="Z217" s="13">
        <f t="shared" si="97"/>
        <v>56.000000000000007</v>
      </c>
      <c r="AA217" s="13">
        <f t="shared" si="98"/>
        <v>40</v>
      </c>
      <c r="AB217" s="13">
        <f t="shared" si="99"/>
        <v>37</v>
      </c>
      <c r="AC217" s="13">
        <f t="shared" si="94"/>
        <v>38.000000000000007</v>
      </c>
      <c r="AD217" s="13">
        <f t="shared" si="89"/>
        <v>17</v>
      </c>
      <c r="AE217" s="13">
        <f t="shared" si="90"/>
        <v>36.000000000000007</v>
      </c>
      <c r="AF217" s="13">
        <f t="shared" si="91"/>
        <v>34.000000000000007</v>
      </c>
      <c r="AG217" s="15">
        <f t="shared" si="92"/>
        <v>44.712784634331683</v>
      </c>
      <c r="AH217" s="15">
        <f t="shared" si="93"/>
        <v>536.5534156119802</v>
      </c>
    </row>
    <row r="218" spans="1:34" ht="12.75" x14ac:dyDescent="0.2">
      <c r="A218" s="58" t="s">
        <v>321</v>
      </c>
      <c r="B218" s="58" t="s">
        <v>366</v>
      </c>
      <c r="C218" s="11">
        <v>127.85</v>
      </c>
      <c r="D218" s="11">
        <v>127.21</v>
      </c>
      <c r="E218" s="11">
        <v>127.21</v>
      </c>
      <c r="F218" s="248">
        <v>40</v>
      </c>
      <c r="G218" s="12">
        <v>5230.45</v>
      </c>
      <c r="H218" s="12">
        <v>4486.1499999999996</v>
      </c>
      <c r="I218" s="12">
        <v>6008.95</v>
      </c>
      <c r="J218" s="12">
        <v>5114</v>
      </c>
      <c r="K218" s="12">
        <v>5881.1</v>
      </c>
      <c r="L218" s="12">
        <v>5218.17</v>
      </c>
      <c r="M218" s="13">
        <v>4961.1900000000005</v>
      </c>
      <c r="N218" s="13">
        <v>4833.9800000000005</v>
      </c>
      <c r="O218" s="13">
        <v>3689.09</v>
      </c>
      <c r="P218" s="13">
        <v>3307.46</v>
      </c>
      <c r="Q218" s="13">
        <v>3689.09</v>
      </c>
      <c r="R218" s="13">
        <v>4325.1400000000003</v>
      </c>
      <c r="S218" s="12">
        <f t="shared" si="84"/>
        <v>56744.770000000004</v>
      </c>
      <c r="U218" s="13">
        <f t="shared" si="85"/>
        <v>40.910833007430583</v>
      </c>
      <c r="V218" s="13">
        <f t="shared" si="86"/>
        <v>35.089166992569417</v>
      </c>
      <c r="W218" s="13">
        <f t="shared" si="87"/>
        <v>47</v>
      </c>
      <c r="X218" s="13">
        <f t="shared" si="95"/>
        <v>40.201242040720068</v>
      </c>
      <c r="Y218" s="13">
        <f t="shared" si="96"/>
        <v>46.231428346828082</v>
      </c>
      <c r="Z218" s="13">
        <f t="shared" si="97"/>
        <v>41.020124204072012</v>
      </c>
      <c r="AA218" s="13">
        <f t="shared" si="98"/>
        <v>39.000000000000007</v>
      </c>
      <c r="AB218" s="13">
        <f t="shared" si="99"/>
        <v>38.000000000000007</v>
      </c>
      <c r="AC218" s="13">
        <f t="shared" si="94"/>
        <v>29.000000000000004</v>
      </c>
      <c r="AD218" s="13">
        <f t="shared" si="89"/>
        <v>26</v>
      </c>
      <c r="AE218" s="13">
        <f t="shared" si="90"/>
        <v>29.000000000000004</v>
      </c>
      <c r="AF218" s="13">
        <f t="shared" si="91"/>
        <v>34.000000000000007</v>
      </c>
      <c r="AG218" s="15">
        <f t="shared" si="92"/>
        <v>37.121066215968348</v>
      </c>
      <c r="AH218" s="15">
        <f t="shared" si="93"/>
        <v>445.4527945916202</v>
      </c>
    </row>
    <row r="219" spans="1:34" ht="12.75" x14ac:dyDescent="0.2">
      <c r="A219" s="58" t="s">
        <v>322</v>
      </c>
      <c r="B219" s="58" t="s">
        <v>367</v>
      </c>
      <c r="C219" s="11">
        <v>125.3</v>
      </c>
      <c r="D219" s="11">
        <v>124.67</v>
      </c>
      <c r="E219" s="11">
        <v>124.67</v>
      </c>
      <c r="F219" s="248">
        <v>43</v>
      </c>
      <c r="G219" s="12">
        <v>2004.8</v>
      </c>
      <c r="H219" s="12">
        <v>2255.4</v>
      </c>
      <c r="I219" s="12">
        <v>2380.7000000000003</v>
      </c>
      <c r="J219" s="12">
        <v>2255.4</v>
      </c>
      <c r="K219" s="12">
        <v>2506</v>
      </c>
      <c r="L219" s="12">
        <v>2744</v>
      </c>
      <c r="M219" s="13">
        <v>2618.0700000000002</v>
      </c>
      <c r="N219" s="13">
        <v>3116.75</v>
      </c>
      <c r="O219" s="13">
        <v>2867.41</v>
      </c>
      <c r="P219" s="13">
        <v>2618.0699999999997</v>
      </c>
      <c r="Q219" s="13">
        <v>2867.41</v>
      </c>
      <c r="R219" s="13">
        <v>2618.0700000000002</v>
      </c>
      <c r="S219" s="12">
        <f t="shared" si="84"/>
        <v>30852.079999999998</v>
      </c>
      <c r="U219" s="13">
        <f t="shared" si="85"/>
        <v>16</v>
      </c>
      <c r="V219" s="13">
        <f t="shared" si="86"/>
        <v>18</v>
      </c>
      <c r="W219" s="13">
        <f t="shared" si="87"/>
        <v>19.000000000000004</v>
      </c>
      <c r="X219" s="13">
        <f t="shared" si="95"/>
        <v>18.090960134755754</v>
      </c>
      <c r="Y219" s="13">
        <f t="shared" si="96"/>
        <v>20.101066816395285</v>
      </c>
      <c r="Z219" s="13">
        <f t="shared" si="97"/>
        <v>22.010106681639527</v>
      </c>
      <c r="AA219" s="13">
        <f t="shared" si="98"/>
        <v>21</v>
      </c>
      <c r="AB219" s="13">
        <f t="shared" si="99"/>
        <v>25</v>
      </c>
      <c r="AC219" s="13">
        <f t="shared" si="94"/>
        <v>23</v>
      </c>
      <c r="AD219" s="13">
        <f t="shared" si="89"/>
        <v>20.999999999999996</v>
      </c>
      <c r="AE219" s="13">
        <f t="shared" si="90"/>
        <v>23</v>
      </c>
      <c r="AF219" s="13">
        <f t="shared" si="91"/>
        <v>21</v>
      </c>
      <c r="AG219" s="15">
        <f t="shared" si="92"/>
        <v>20.600177802732549</v>
      </c>
      <c r="AH219" s="15">
        <f t="shared" si="93"/>
        <v>247.20213363279058</v>
      </c>
    </row>
    <row r="220" spans="1:34" ht="12.75" x14ac:dyDescent="0.2">
      <c r="A220" s="58" t="s">
        <v>323</v>
      </c>
      <c r="B220" s="58" t="s">
        <v>368</v>
      </c>
      <c r="C220" s="11">
        <v>125.3</v>
      </c>
      <c r="D220" s="11">
        <v>124.67</v>
      </c>
      <c r="E220" s="11">
        <v>124.67</v>
      </c>
      <c r="F220" s="248">
        <v>43</v>
      </c>
      <c r="G220" s="12">
        <v>6515.6</v>
      </c>
      <c r="H220" s="12">
        <v>8144.5</v>
      </c>
      <c r="I220" s="12">
        <v>7267.4000000000005</v>
      </c>
      <c r="J220" s="12">
        <v>7768.6</v>
      </c>
      <c r="K220" s="12">
        <v>9021.5999999999985</v>
      </c>
      <c r="L220" s="12">
        <v>7232.12</v>
      </c>
      <c r="M220" s="13">
        <v>7355.5300000000007</v>
      </c>
      <c r="N220" s="13">
        <v>7355.5300000000007</v>
      </c>
      <c r="O220" s="13">
        <v>7230.8600000000006</v>
      </c>
      <c r="P220" s="13">
        <v>7355.5300000000007</v>
      </c>
      <c r="Q220" s="13">
        <v>7106.1900000000005</v>
      </c>
      <c r="R220" s="13">
        <v>6856.85</v>
      </c>
      <c r="S220" s="12">
        <f t="shared" si="84"/>
        <v>89210.31</v>
      </c>
      <c r="U220" s="13">
        <f t="shared" si="85"/>
        <v>52.000000000000007</v>
      </c>
      <c r="V220" s="13">
        <f t="shared" si="86"/>
        <v>65</v>
      </c>
      <c r="W220" s="13">
        <f t="shared" si="87"/>
        <v>58.000000000000007</v>
      </c>
      <c r="X220" s="13">
        <f t="shared" si="95"/>
        <v>62.313307130825379</v>
      </c>
      <c r="Y220" s="13">
        <f t="shared" si="96"/>
        <v>72.363840539023002</v>
      </c>
      <c r="Z220" s="13">
        <f t="shared" si="97"/>
        <v>58.010106681639527</v>
      </c>
      <c r="AA220" s="13">
        <f t="shared" si="98"/>
        <v>59.000000000000007</v>
      </c>
      <c r="AB220" s="13">
        <f t="shared" si="99"/>
        <v>59.000000000000007</v>
      </c>
      <c r="AC220" s="13">
        <f t="shared" si="94"/>
        <v>58.000000000000007</v>
      </c>
      <c r="AD220" s="13">
        <f t="shared" si="89"/>
        <v>59.000000000000007</v>
      </c>
      <c r="AE220" s="13">
        <f t="shared" si="90"/>
        <v>57</v>
      </c>
      <c r="AF220" s="13">
        <f t="shared" si="91"/>
        <v>55</v>
      </c>
      <c r="AG220" s="15">
        <f t="shared" si="92"/>
        <v>59.557271195957327</v>
      </c>
      <c r="AH220" s="15">
        <f t="shared" si="93"/>
        <v>714.68725435148792</v>
      </c>
    </row>
    <row r="221" spans="1:34" ht="12.75" x14ac:dyDescent="0.2">
      <c r="A221" s="58" t="s">
        <v>324</v>
      </c>
      <c r="B221" s="58" t="s">
        <v>369</v>
      </c>
      <c r="C221" s="11">
        <v>140.66</v>
      </c>
      <c r="D221" s="11">
        <v>139.94999999999999</v>
      </c>
      <c r="E221" s="11">
        <v>139.94999999999999</v>
      </c>
      <c r="F221" s="248">
        <v>43</v>
      </c>
      <c r="G221" s="12">
        <v>6892.34</v>
      </c>
      <c r="H221" s="12">
        <v>7454.98</v>
      </c>
      <c r="I221" s="12">
        <v>7876.96</v>
      </c>
      <c r="J221" s="12">
        <v>7173.66</v>
      </c>
      <c r="K221" s="12">
        <v>9564.880000000001</v>
      </c>
      <c r="L221" s="12">
        <v>7420.9</v>
      </c>
      <c r="M221" s="13">
        <v>7417.3499999999995</v>
      </c>
      <c r="N221" s="13">
        <v>7557.2999999999993</v>
      </c>
      <c r="O221" s="13">
        <v>7697.25</v>
      </c>
      <c r="P221" s="13">
        <v>6997.5</v>
      </c>
      <c r="Q221" s="13">
        <v>7977.15</v>
      </c>
      <c r="R221" s="13">
        <v>8117.0999999999995</v>
      </c>
      <c r="S221" s="12">
        <f t="shared" si="84"/>
        <v>92147.37</v>
      </c>
      <c r="U221" s="13">
        <f t="shared" si="85"/>
        <v>49</v>
      </c>
      <c r="V221" s="13">
        <f t="shared" si="86"/>
        <v>53</v>
      </c>
      <c r="W221" s="13">
        <f t="shared" si="87"/>
        <v>56</v>
      </c>
      <c r="X221" s="13">
        <f t="shared" si="95"/>
        <v>51.258735262593788</v>
      </c>
      <c r="Y221" s="13">
        <f t="shared" si="96"/>
        <v>68.344980350125056</v>
      </c>
      <c r="Z221" s="13">
        <f t="shared" si="97"/>
        <v>53.025366202215082</v>
      </c>
      <c r="AA221" s="13">
        <f t="shared" si="98"/>
        <v>53</v>
      </c>
      <c r="AB221" s="13">
        <f t="shared" si="99"/>
        <v>54</v>
      </c>
      <c r="AC221" s="13">
        <f t="shared" si="94"/>
        <v>55.000000000000007</v>
      </c>
      <c r="AD221" s="13">
        <f t="shared" si="89"/>
        <v>50.000000000000007</v>
      </c>
      <c r="AE221" s="13">
        <f t="shared" si="90"/>
        <v>57</v>
      </c>
      <c r="AF221" s="13">
        <f t="shared" si="91"/>
        <v>58</v>
      </c>
      <c r="AG221" s="15">
        <f t="shared" si="92"/>
        <v>54.802423484577837</v>
      </c>
      <c r="AH221" s="15">
        <f t="shared" si="93"/>
        <v>657.62908181493401</v>
      </c>
    </row>
    <row r="222" spans="1:34" ht="14.25" customHeight="1" x14ac:dyDescent="0.2">
      <c r="A222" s="58" t="s">
        <v>325</v>
      </c>
      <c r="B222" s="58" t="s">
        <v>370</v>
      </c>
      <c r="C222" s="11">
        <v>140.66</v>
      </c>
      <c r="D222" s="11">
        <v>139.94999999999999</v>
      </c>
      <c r="E222" s="11">
        <v>139.94999999999999</v>
      </c>
      <c r="F222" s="248">
        <v>43</v>
      </c>
      <c r="G222" s="12">
        <v>5345.08</v>
      </c>
      <c r="H222" s="12">
        <v>5485.7400000000007</v>
      </c>
      <c r="I222" s="12">
        <v>6048.38</v>
      </c>
      <c r="J222" s="12">
        <v>5204.42</v>
      </c>
      <c r="K222" s="12">
        <v>6189.0400000000009</v>
      </c>
      <c r="L222" s="12">
        <v>5180.99</v>
      </c>
      <c r="M222" s="13">
        <v>5877.9000000000005</v>
      </c>
      <c r="N222" s="13">
        <v>5737.9500000000007</v>
      </c>
      <c r="O222" s="13">
        <v>5877.9000000000005</v>
      </c>
      <c r="P222" s="13">
        <v>5877.9000000000005</v>
      </c>
      <c r="Q222" s="13">
        <v>5318.1</v>
      </c>
      <c r="R222" s="13">
        <v>5458.05</v>
      </c>
      <c r="S222" s="12">
        <f t="shared" si="84"/>
        <v>67601.45</v>
      </c>
      <c r="U222" s="13">
        <f t="shared" si="85"/>
        <v>38</v>
      </c>
      <c r="V222" s="13">
        <f t="shared" si="86"/>
        <v>39.000000000000007</v>
      </c>
      <c r="W222" s="13">
        <f t="shared" si="87"/>
        <v>43</v>
      </c>
      <c r="X222" s="13">
        <f t="shared" si="95"/>
        <v>37.187709896391574</v>
      </c>
      <c r="Y222" s="13">
        <f t="shared" si="96"/>
        <v>44.223222579492685</v>
      </c>
      <c r="Z222" s="13">
        <f t="shared" si="97"/>
        <v>37.020292961772064</v>
      </c>
      <c r="AA222" s="13">
        <f t="shared" si="98"/>
        <v>42.000000000000007</v>
      </c>
      <c r="AB222" s="13">
        <f t="shared" si="99"/>
        <v>41.000000000000007</v>
      </c>
      <c r="AC222" s="13">
        <f t="shared" si="94"/>
        <v>42.000000000000007</v>
      </c>
      <c r="AD222" s="13">
        <f t="shared" si="89"/>
        <v>42.000000000000007</v>
      </c>
      <c r="AE222" s="13">
        <f t="shared" si="90"/>
        <v>38.000000000000007</v>
      </c>
      <c r="AF222" s="13">
        <f t="shared" si="91"/>
        <v>39.000000000000007</v>
      </c>
      <c r="AG222" s="15">
        <f t="shared" si="92"/>
        <v>40.202602119804695</v>
      </c>
      <c r="AH222" s="15">
        <f t="shared" si="93"/>
        <v>482.43122543765634</v>
      </c>
    </row>
    <row r="223" spans="1:34" ht="14.25" customHeight="1" x14ac:dyDescent="0.2">
      <c r="A223" s="58" t="s">
        <v>1064</v>
      </c>
      <c r="B223" s="58" t="s">
        <v>1065</v>
      </c>
      <c r="C223" s="11">
        <v>140.66</v>
      </c>
      <c r="D223" s="11">
        <v>139.94999999999999</v>
      </c>
      <c r="E223" s="11">
        <v>139.94999999999999</v>
      </c>
      <c r="F223" s="248">
        <v>43</v>
      </c>
      <c r="G223" s="12">
        <v>0</v>
      </c>
      <c r="H223" s="12">
        <v>0</v>
      </c>
      <c r="I223" s="12">
        <v>0</v>
      </c>
      <c r="J223" s="12">
        <v>0</v>
      </c>
      <c r="K223" s="12">
        <v>0</v>
      </c>
      <c r="L223" s="12">
        <v>0</v>
      </c>
      <c r="M223" s="13">
        <v>0</v>
      </c>
      <c r="N223" s="13">
        <v>0</v>
      </c>
      <c r="O223" s="13">
        <v>0</v>
      </c>
      <c r="P223" s="13">
        <v>0</v>
      </c>
      <c r="Q223" s="13">
        <v>0</v>
      </c>
      <c r="R223" s="13">
        <v>0</v>
      </c>
      <c r="S223" s="12">
        <f>SUM(G223:R223)</f>
        <v>0</v>
      </c>
      <c r="U223" s="13">
        <f t="shared" si="85"/>
        <v>0</v>
      </c>
      <c r="V223" s="13">
        <f t="shared" si="86"/>
        <v>0</v>
      </c>
      <c r="W223" s="13">
        <f t="shared" si="87"/>
        <v>0</v>
      </c>
      <c r="X223" s="13">
        <f>IFERROR(J223/$D223,0)</f>
        <v>0</v>
      </c>
      <c r="Y223" s="13">
        <f>IFERROR(K223/$D223,0)</f>
        <v>0</v>
      </c>
      <c r="Z223" s="13">
        <f>IFERROR(L223/$D223,0)</f>
        <v>0</v>
      </c>
      <c r="AA223" s="13">
        <f>IFERROR(M223/$D223,0)</f>
        <v>0</v>
      </c>
      <c r="AB223" s="13">
        <f>IFERROR(N223/$D223,0)</f>
        <v>0</v>
      </c>
      <c r="AC223" s="13">
        <f t="shared" si="94"/>
        <v>0</v>
      </c>
      <c r="AD223" s="13">
        <f t="shared" si="89"/>
        <v>0</v>
      </c>
      <c r="AE223" s="13">
        <f t="shared" si="90"/>
        <v>0</v>
      </c>
      <c r="AF223" s="13">
        <f t="shared" si="91"/>
        <v>0</v>
      </c>
      <c r="AG223" s="15">
        <f>IFERROR(AVERAGE(U223:AF223),0)</f>
        <v>0</v>
      </c>
      <c r="AH223" s="15">
        <f>+SUM(U223:AF223)</f>
        <v>0</v>
      </c>
    </row>
    <row r="224" spans="1:34" ht="12.75" x14ac:dyDescent="0.2">
      <c r="A224" s="58" t="s">
        <v>326</v>
      </c>
      <c r="B224" s="58" t="s">
        <v>371</v>
      </c>
      <c r="C224" s="11">
        <v>140.66</v>
      </c>
      <c r="D224" s="11">
        <v>139.94999999999999</v>
      </c>
      <c r="E224" s="11">
        <v>139.94999999999999</v>
      </c>
      <c r="F224" s="248">
        <v>43</v>
      </c>
      <c r="G224" s="12">
        <v>0</v>
      </c>
      <c r="H224" s="12">
        <v>281.32</v>
      </c>
      <c r="I224" s="12">
        <v>421.98</v>
      </c>
      <c r="J224" s="12">
        <v>703.3</v>
      </c>
      <c r="K224" s="12">
        <v>281.32</v>
      </c>
      <c r="L224" s="12">
        <v>419.85</v>
      </c>
      <c r="M224" s="13">
        <v>139.94999999999999</v>
      </c>
      <c r="N224" s="13">
        <v>419.85</v>
      </c>
      <c r="O224" s="13">
        <v>139.94999999999999</v>
      </c>
      <c r="P224" s="13">
        <v>559.79999999999995</v>
      </c>
      <c r="Q224" s="13">
        <v>139.94999999999999</v>
      </c>
      <c r="R224" s="13">
        <v>279.89999999999998</v>
      </c>
      <c r="S224" s="12">
        <f t="shared" si="84"/>
        <v>3787.1699999999996</v>
      </c>
      <c r="U224" s="13">
        <f t="shared" si="85"/>
        <v>0</v>
      </c>
      <c r="V224" s="13">
        <f t="shared" si="86"/>
        <v>2</v>
      </c>
      <c r="W224" s="13">
        <f t="shared" si="87"/>
        <v>3</v>
      </c>
      <c r="X224" s="13">
        <f t="shared" si="95"/>
        <v>5.0253662022150767</v>
      </c>
      <c r="Y224" s="13">
        <f t="shared" si="96"/>
        <v>2.0101464808860308</v>
      </c>
      <c r="Z224" s="13">
        <f t="shared" si="97"/>
        <v>3.0000000000000004</v>
      </c>
      <c r="AA224" s="13">
        <f t="shared" si="98"/>
        <v>1</v>
      </c>
      <c r="AB224" s="13">
        <f t="shared" si="99"/>
        <v>3.0000000000000004</v>
      </c>
      <c r="AC224" s="13">
        <f t="shared" si="94"/>
        <v>1</v>
      </c>
      <c r="AD224" s="13">
        <f t="shared" si="89"/>
        <v>4</v>
      </c>
      <c r="AE224" s="13">
        <f t="shared" si="90"/>
        <v>1</v>
      </c>
      <c r="AF224" s="13">
        <f t="shared" si="91"/>
        <v>2</v>
      </c>
      <c r="AG224" s="15">
        <f t="shared" si="92"/>
        <v>2.2529593902584257</v>
      </c>
      <c r="AH224" s="15">
        <f t="shared" si="93"/>
        <v>27.035512683101107</v>
      </c>
    </row>
    <row r="225" spans="1:41" ht="12.75" x14ac:dyDescent="0.2">
      <c r="A225" s="58" t="s">
        <v>902</v>
      </c>
      <c r="B225" s="58" t="s">
        <v>913</v>
      </c>
      <c r="C225" s="11">
        <v>125.3</v>
      </c>
      <c r="D225" s="11">
        <v>124.67</v>
      </c>
      <c r="E225" s="11">
        <v>124.67</v>
      </c>
      <c r="F225" s="248">
        <v>43</v>
      </c>
      <c r="G225" s="12">
        <v>0</v>
      </c>
      <c r="H225" s="12">
        <v>0</v>
      </c>
      <c r="I225" s="12">
        <v>0</v>
      </c>
      <c r="J225" s="12">
        <v>0</v>
      </c>
      <c r="K225" s="12">
        <v>0</v>
      </c>
      <c r="L225" s="12">
        <v>0</v>
      </c>
      <c r="M225" s="13">
        <v>0</v>
      </c>
      <c r="N225" s="13">
        <v>0</v>
      </c>
      <c r="O225" s="13">
        <v>0</v>
      </c>
      <c r="P225" s="13">
        <v>0</v>
      </c>
      <c r="Q225" s="13">
        <v>0</v>
      </c>
      <c r="R225" s="13">
        <v>0</v>
      </c>
      <c r="S225" s="12">
        <f t="shared" si="84"/>
        <v>0</v>
      </c>
      <c r="U225" s="13">
        <f t="shared" si="85"/>
        <v>0</v>
      </c>
      <c r="V225" s="13">
        <f t="shared" si="86"/>
        <v>0</v>
      </c>
      <c r="W225" s="13">
        <f t="shared" si="87"/>
        <v>0</v>
      </c>
      <c r="X225" s="13">
        <f t="shared" si="95"/>
        <v>0</v>
      </c>
      <c r="Y225" s="13">
        <f t="shared" si="96"/>
        <v>0</v>
      </c>
      <c r="Z225" s="13">
        <f t="shared" si="97"/>
        <v>0</v>
      </c>
      <c r="AA225" s="13">
        <f t="shared" si="98"/>
        <v>0</v>
      </c>
      <c r="AB225" s="13">
        <f t="shared" si="99"/>
        <v>0</v>
      </c>
      <c r="AC225" s="13">
        <f t="shared" si="94"/>
        <v>0</v>
      </c>
      <c r="AD225" s="13">
        <f t="shared" si="89"/>
        <v>0</v>
      </c>
      <c r="AE225" s="13">
        <f t="shared" si="90"/>
        <v>0</v>
      </c>
      <c r="AF225" s="13">
        <f t="shared" si="91"/>
        <v>0</v>
      </c>
      <c r="AG225" s="15">
        <f t="shared" si="92"/>
        <v>0</v>
      </c>
      <c r="AH225" s="15">
        <f t="shared" si="93"/>
        <v>0</v>
      </c>
    </row>
    <row r="226" spans="1:41" ht="12.75" x14ac:dyDescent="0.2">
      <c r="A226" s="58" t="s">
        <v>327</v>
      </c>
      <c r="B226" s="58" t="s">
        <v>372</v>
      </c>
      <c r="C226" s="11">
        <v>125.3</v>
      </c>
      <c r="D226" s="11">
        <v>124.67</v>
      </c>
      <c r="E226" s="11">
        <v>124.67</v>
      </c>
      <c r="F226" s="248">
        <v>43</v>
      </c>
      <c r="G226" s="12">
        <v>0</v>
      </c>
      <c r="H226" s="12">
        <v>0</v>
      </c>
      <c r="I226" s="12">
        <v>0</v>
      </c>
      <c r="J226" s="12">
        <v>0</v>
      </c>
      <c r="K226" s="12">
        <v>125.3</v>
      </c>
      <c r="L226" s="12">
        <v>-125.3</v>
      </c>
      <c r="M226" s="13">
        <v>0</v>
      </c>
      <c r="N226" s="13">
        <v>0</v>
      </c>
      <c r="O226" s="13">
        <v>0</v>
      </c>
      <c r="P226" s="13">
        <v>0</v>
      </c>
      <c r="Q226" s="13">
        <v>0</v>
      </c>
      <c r="R226" s="13">
        <v>0</v>
      </c>
      <c r="S226" s="12">
        <f t="shared" si="84"/>
        <v>0</v>
      </c>
      <c r="U226" s="13">
        <f t="shared" si="85"/>
        <v>0</v>
      </c>
      <c r="V226" s="13">
        <f t="shared" si="86"/>
        <v>0</v>
      </c>
      <c r="W226" s="13">
        <f t="shared" si="87"/>
        <v>0</v>
      </c>
      <c r="X226" s="13">
        <f t="shared" si="95"/>
        <v>0</v>
      </c>
      <c r="Y226" s="13">
        <f t="shared" si="96"/>
        <v>1.0050533408197642</v>
      </c>
      <c r="Z226" s="13">
        <f t="shared" si="97"/>
        <v>-1.0050533408197642</v>
      </c>
      <c r="AA226" s="13">
        <f t="shared" si="98"/>
        <v>0</v>
      </c>
      <c r="AB226" s="13">
        <f t="shared" si="99"/>
        <v>0</v>
      </c>
      <c r="AC226" s="13">
        <f t="shared" si="94"/>
        <v>0</v>
      </c>
      <c r="AD226" s="13">
        <f t="shared" si="89"/>
        <v>0</v>
      </c>
      <c r="AE226" s="13">
        <f t="shared" si="90"/>
        <v>0</v>
      </c>
      <c r="AF226" s="13">
        <f t="shared" si="91"/>
        <v>0</v>
      </c>
      <c r="AG226" s="15">
        <f t="shared" si="92"/>
        <v>0</v>
      </c>
      <c r="AH226" s="15">
        <f t="shared" si="93"/>
        <v>0</v>
      </c>
    </row>
    <row r="227" spans="1:41" ht="12.75" x14ac:dyDescent="0.2">
      <c r="A227" s="58" t="s">
        <v>903</v>
      </c>
      <c r="B227" s="58" t="s">
        <v>914</v>
      </c>
      <c r="C227" s="11">
        <v>140.66</v>
      </c>
      <c r="D227" s="11">
        <v>139.94999999999999</v>
      </c>
      <c r="E227" s="11">
        <v>139.94999999999999</v>
      </c>
      <c r="F227" s="248">
        <v>43</v>
      </c>
      <c r="G227" s="12">
        <v>0</v>
      </c>
      <c r="H227" s="12">
        <v>281.32</v>
      </c>
      <c r="I227" s="12">
        <v>0</v>
      </c>
      <c r="J227" s="12">
        <v>0</v>
      </c>
      <c r="K227" s="12">
        <v>0</v>
      </c>
      <c r="L227" s="12">
        <v>0</v>
      </c>
      <c r="M227" s="13">
        <v>0</v>
      </c>
      <c r="N227" s="13">
        <v>0</v>
      </c>
      <c r="O227" s="13">
        <v>0</v>
      </c>
      <c r="P227" s="13">
        <v>0</v>
      </c>
      <c r="Q227" s="13">
        <v>139.94999999999999</v>
      </c>
      <c r="R227" s="13">
        <v>0</v>
      </c>
      <c r="S227" s="12">
        <f t="shared" si="84"/>
        <v>421.27</v>
      </c>
      <c r="U227" s="13">
        <f t="shared" si="85"/>
        <v>0</v>
      </c>
      <c r="V227" s="13">
        <f t="shared" si="86"/>
        <v>2</v>
      </c>
      <c r="W227" s="13">
        <f t="shared" si="87"/>
        <v>0</v>
      </c>
      <c r="X227" s="13">
        <f t="shared" si="95"/>
        <v>0</v>
      </c>
      <c r="Y227" s="13">
        <f t="shared" si="96"/>
        <v>0</v>
      </c>
      <c r="Z227" s="13">
        <f t="shared" si="97"/>
        <v>0</v>
      </c>
      <c r="AA227" s="13">
        <f t="shared" si="98"/>
        <v>0</v>
      </c>
      <c r="AB227" s="13">
        <f t="shared" si="99"/>
        <v>0</v>
      </c>
      <c r="AC227" s="13">
        <f t="shared" si="94"/>
        <v>0</v>
      </c>
      <c r="AD227" s="13">
        <f t="shared" si="89"/>
        <v>0</v>
      </c>
      <c r="AE227" s="13">
        <f t="shared" si="90"/>
        <v>1</v>
      </c>
      <c r="AF227" s="13">
        <f t="shared" si="91"/>
        <v>0</v>
      </c>
      <c r="AG227" s="15">
        <f t="shared" si="92"/>
        <v>0.25</v>
      </c>
      <c r="AH227" s="15">
        <f t="shared" si="93"/>
        <v>3</v>
      </c>
    </row>
    <row r="228" spans="1:41" ht="12.75" x14ac:dyDescent="0.2">
      <c r="A228" s="58" t="s">
        <v>904</v>
      </c>
      <c r="B228" s="58" t="s">
        <v>915</v>
      </c>
      <c r="C228" s="11">
        <v>140.66</v>
      </c>
      <c r="D228" s="11">
        <v>139.94999999999999</v>
      </c>
      <c r="E228" s="11">
        <v>139.94999999999999</v>
      </c>
      <c r="F228" s="248">
        <v>43</v>
      </c>
      <c r="G228" s="12">
        <v>0</v>
      </c>
      <c r="H228" s="12">
        <v>140.66</v>
      </c>
      <c r="I228" s="12">
        <v>0</v>
      </c>
      <c r="J228" s="12">
        <v>0</v>
      </c>
      <c r="K228" s="12">
        <v>0</v>
      </c>
      <c r="L228" s="12">
        <v>0</v>
      </c>
      <c r="M228" s="13">
        <v>0</v>
      </c>
      <c r="N228" s="13">
        <v>0</v>
      </c>
      <c r="O228" s="13">
        <v>0</v>
      </c>
      <c r="P228" s="13">
        <v>0</v>
      </c>
      <c r="Q228" s="13">
        <v>0</v>
      </c>
      <c r="R228" s="13">
        <v>0</v>
      </c>
      <c r="S228" s="12">
        <f t="shared" si="84"/>
        <v>140.66</v>
      </c>
      <c r="U228" s="13">
        <f t="shared" si="85"/>
        <v>0</v>
      </c>
      <c r="V228" s="13">
        <f t="shared" si="86"/>
        <v>1</v>
      </c>
      <c r="W228" s="13">
        <f t="shared" si="87"/>
        <v>0</v>
      </c>
      <c r="X228" s="13">
        <f t="shared" si="95"/>
        <v>0</v>
      </c>
      <c r="Y228" s="13">
        <f t="shared" si="96"/>
        <v>0</v>
      </c>
      <c r="Z228" s="13">
        <f t="shared" si="97"/>
        <v>0</v>
      </c>
      <c r="AA228" s="13">
        <f t="shared" si="98"/>
        <v>0</v>
      </c>
      <c r="AB228" s="13">
        <f t="shared" si="99"/>
        <v>0</v>
      </c>
      <c r="AC228" s="13">
        <f t="shared" si="94"/>
        <v>0</v>
      </c>
      <c r="AD228" s="13">
        <f t="shared" si="89"/>
        <v>0</v>
      </c>
      <c r="AE228" s="13">
        <f t="shared" si="90"/>
        <v>0</v>
      </c>
      <c r="AF228" s="13">
        <f t="shared" si="91"/>
        <v>0</v>
      </c>
      <c r="AG228" s="15">
        <f t="shared" si="92"/>
        <v>8.3333333333333329E-2</v>
      </c>
      <c r="AH228" s="15">
        <f t="shared" si="93"/>
        <v>1</v>
      </c>
    </row>
    <row r="229" spans="1:41" s="241" customFormat="1" ht="12.75" x14ac:dyDescent="0.2">
      <c r="A229" s="232" t="s">
        <v>1170</v>
      </c>
      <c r="B229" s="232" t="s">
        <v>1142</v>
      </c>
      <c r="C229" s="238">
        <v>68.3</v>
      </c>
      <c r="D229" s="238">
        <v>67.959999999999994</v>
      </c>
      <c r="E229" s="238">
        <v>67.959999999999994</v>
      </c>
      <c r="F229" s="239">
        <v>36</v>
      </c>
      <c r="G229" s="233">
        <v>0</v>
      </c>
      <c r="H229" s="233">
        <v>0</v>
      </c>
      <c r="I229" s="233">
        <v>0</v>
      </c>
      <c r="J229" s="233">
        <v>0</v>
      </c>
      <c r="K229" s="233">
        <v>0</v>
      </c>
      <c r="L229" s="233">
        <v>33.980000000000004</v>
      </c>
      <c r="M229" s="240">
        <v>13.59</v>
      </c>
      <c r="N229" s="240">
        <v>15.86</v>
      </c>
      <c r="O229" s="240">
        <v>33.979999999999997</v>
      </c>
      <c r="P229" s="240">
        <v>18.12</v>
      </c>
      <c r="Q229" s="240">
        <v>0</v>
      </c>
      <c r="R229" s="240">
        <v>0</v>
      </c>
      <c r="S229" s="233">
        <f t="shared" si="84"/>
        <v>115.53</v>
      </c>
      <c r="U229" s="240">
        <f t="shared" si="85"/>
        <v>0</v>
      </c>
      <c r="V229" s="240">
        <f t="shared" si="86"/>
        <v>0</v>
      </c>
      <c r="W229" s="240">
        <f t="shared" si="87"/>
        <v>0</v>
      </c>
      <c r="X229" s="240">
        <f t="shared" si="95"/>
        <v>0</v>
      </c>
      <c r="Y229" s="240">
        <f t="shared" si="96"/>
        <v>0</v>
      </c>
      <c r="Z229" s="240">
        <f t="shared" si="97"/>
        <v>0.50000000000000011</v>
      </c>
      <c r="AA229" s="240">
        <f t="shared" si="98"/>
        <v>0.199970570924073</v>
      </c>
      <c r="AB229" s="240">
        <f t="shared" si="99"/>
        <v>0.23337257210123605</v>
      </c>
      <c r="AC229" s="240">
        <f t="shared" si="94"/>
        <v>0.5</v>
      </c>
      <c r="AD229" s="240">
        <f t="shared" si="89"/>
        <v>0.26662742789876404</v>
      </c>
      <c r="AE229" s="240">
        <f t="shared" si="90"/>
        <v>0</v>
      </c>
      <c r="AF229" s="240">
        <f t="shared" si="91"/>
        <v>0</v>
      </c>
      <c r="AG229" s="242">
        <f t="shared" si="92"/>
        <v>0.14166421424367279</v>
      </c>
      <c r="AH229" s="242">
        <f t="shared" si="93"/>
        <v>1.6999705709240733</v>
      </c>
      <c r="AN229" s="241">
        <v>1</v>
      </c>
      <c r="AO229" s="242">
        <f>+AN229*AG229</f>
        <v>0.14166421424367279</v>
      </c>
    </row>
    <row r="230" spans="1:41" s="241" customFormat="1" ht="12.75" x14ac:dyDescent="0.2">
      <c r="A230" s="232" t="s">
        <v>1151</v>
      </c>
      <c r="B230" s="232" t="s">
        <v>1152</v>
      </c>
      <c r="C230" s="238">
        <v>68.3</v>
      </c>
      <c r="D230" s="238">
        <v>67.959999999999994</v>
      </c>
      <c r="E230" s="238">
        <v>67.959999999999994</v>
      </c>
      <c r="F230" s="239">
        <v>36</v>
      </c>
      <c r="G230" s="233">
        <v>0</v>
      </c>
      <c r="H230" s="233">
        <v>0</v>
      </c>
      <c r="I230" s="233">
        <v>0</v>
      </c>
      <c r="J230" s="233">
        <v>0</v>
      </c>
      <c r="K230" s="233">
        <v>0</v>
      </c>
      <c r="L230" s="233">
        <v>0</v>
      </c>
      <c r="M230" s="240">
        <v>29.450000000000003</v>
      </c>
      <c r="N230" s="240">
        <v>83.81</v>
      </c>
      <c r="O230" s="240">
        <v>0</v>
      </c>
      <c r="P230" s="240">
        <v>54.37</v>
      </c>
      <c r="Q230" s="240">
        <v>52.11</v>
      </c>
      <c r="R230" s="240">
        <v>20.39</v>
      </c>
      <c r="S230" s="233">
        <f>SUM(G230:R230)</f>
        <v>240.13</v>
      </c>
      <c r="U230" s="240">
        <f t="shared" si="85"/>
        <v>0</v>
      </c>
      <c r="V230" s="240">
        <f t="shared" si="86"/>
        <v>0</v>
      </c>
      <c r="W230" s="240">
        <f t="shared" si="87"/>
        <v>0</v>
      </c>
      <c r="X230" s="240">
        <f>IFERROR(J230/$D230,0)</f>
        <v>0</v>
      </c>
      <c r="Y230" s="240">
        <f>IFERROR(K230/$D230,0)</f>
        <v>0</v>
      </c>
      <c r="Z230" s="240">
        <f>IFERROR(L230/$D230,0)</f>
        <v>0</v>
      </c>
      <c r="AA230" s="240">
        <f>IFERROR(M230/$D230,0)</f>
        <v>0.43334314302530907</v>
      </c>
      <c r="AB230" s="240">
        <f>IFERROR(N230/$D230,0)</f>
        <v>1.2332254267216012</v>
      </c>
      <c r="AC230" s="240">
        <f t="shared" si="94"/>
        <v>0</v>
      </c>
      <c r="AD230" s="240">
        <f t="shared" si="89"/>
        <v>0.800029429075927</v>
      </c>
      <c r="AE230" s="240">
        <f t="shared" si="90"/>
        <v>0.76677457327839915</v>
      </c>
      <c r="AF230" s="240">
        <f t="shared" si="91"/>
        <v>0.30002942907592706</v>
      </c>
      <c r="AG230" s="242">
        <f>IFERROR(AVERAGE(U230:AF230),0)</f>
        <v>0.29445016676476365</v>
      </c>
      <c r="AH230" s="242">
        <f>+SUM(U230:AF230)</f>
        <v>3.5334020011771639</v>
      </c>
      <c r="AN230" s="241">
        <v>1</v>
      </c>
      <c r="AO230" s="242">
        <f>+AN230*AG230</f>
        <v>0.29445016676476365</v>
      </c>
    </row>
    <row r="231" spans="1:41" s="241" customFormat="1" ht="12.75" x14ac:dyDescent="0.2">
      <c r="A231" s="232" t="s">
        <v>1171</v>
      </c>
      <c r="B231" s="232" t="s">
        <v>1172</v>
      </c>
      <c r="C231" s="238">
        <v>68.3</v>
      </c>
      <c r="D231" s="238">
        <v>67.959999999999994</v>
      </c>
      <c r="E231" s="238">
        <v>67.959999999999994</v>
      </c>
      <c r="F231" s="239">
        <v>36</v>
      </c>
      <c r="G231" s="233">
        <v>0</v>
      </c>
      <c r="H231" s="233">
        <v>0</v>
      </c>
      <c r="I231" s="233">
        <v>0</v>
      </c>
      <c r="J231" s="233">
        <v>0</v>
      </c>
      <c r="K231" s="233">
        <v>0</v>
      </c>
      <c r="L231" s="233">
        <v>92.88</v>
      </c>
      <c r="M231" s="240">
        <v>104.21</v>
      </c>
      <c r="N231" s="240">
        <v>95.15</v>
      </c>
      <c r="O231" s="240">
        <v>86.09</v>
      </c>
      <c r="P231" s="240">
        <v>0</v>
      </c>
      <c r="Q231" s="240">
        <v>126.87</v>
      </c>
      <c r="R231" s="240">
        <v>181.23000000000002</v>
      </c>
      <c r="S231" s="233">
        <f t="shared" si="84"/>
        <v>686.43000000000006</v>
      </c>
      <c r="U231" s="240">
        <f t="shared" si="85"/>
        <v>0</v>
      </c>
      <c r="V231" s="240">
        <f t="shared" si="86"/>
        <v>0</v>
      </c>
      <c r="W231" s="240">
        <f t="shared" si="87"/>
        <v>0</v>
      </c>
      <c r="X231" s="240">
        <f t="shared" si="95"/>
        <v>0</v>
      </c>
      <c r="Y231" s="240">
        <f t="shared" si="96"/>
        <v>0</v>
      </c>
      <c r="Z231" s="240">
        <f t="shared" si="97"/>
        <v>1.3666862860506181</v>
      </c>
      <c r="AA231" s="240">
        <f t="shared" si="98"/>
        <v>1.5334020011771632</v>
      </c>
      <c r="AB231" s="240">
        <f t="shared" si="99"/>
        <v>1.4000882872277813</v>
      </c>
      <c r="AC231" s="240">
        <f t="shared" si="94"/>
        <v>1.2667745732783993</v>
      </c>
      <c r="AD231" s="240">
        <f t="shared" si="89"/>
        <v>0</v>
      </c>
      <c r="AE231" s="240">
        <f t="shared" si="90"/>
        <v>1.8668334314302533</v>
      </c>
      <c r="AF231" s="240">
        <f t="shared" si="91"/>
        <v>2.6667157151265455</v>
      </c>
      <c r="AG231" s="242">
        <f t="shared" si="92"/>
        <v>0.84170835785756337</v>
      </c>
      <c r="AH231" s="242">
        <f t="shared" si="93"/>
        <v>10.100500294290761</v>
      </c>
      <c r="AN231" s="241">
        <v>1</v>
      </c>
      <c r="AO231" s="242">
        <f t="shared" ref="AO231:AO245" si="100">+AN231*AG231</f>
        <v>0.84170835785756337</v>
      </c>
    </row>
    <row r="232" spans="1:41" s="241" customFormat="1" ht="12.75" x14ac:dyDescent="0.2">
      <c r="A232" s="232" t="s">
        <v>328</v>
      </c>
      <c r="B232" s="232" t="s">
        <v>373</v>
      </c>
      <c r="C232" s="238">
        <v>70.81</v>
      </c>
      <c r="D232" s="238">
        <v>70.45</v>
      </c>
      <c r="E232" s="238">
        <v>70.45</v>
      </c>
      <c r="F232" s="239">
        <v>40</v>
      </c>
      <c r="G232" s="233">
        <v>70.81</v>
      </c>
      <c r="H232" s="233">
        <v>70.81</v>
      </c>
      <c r="I232" s="233">
        <v>70.81</v>
      </c>
      <c r="J232" s="233">
        <v>70.81</v>
      </c>
      <c r="K232" s="233">
        <v>70.81</v>
      </c>
      <c r="L232" s="233">
        <v>70.45</v>
      </c>
      <c r="M232" s="240">
        <v>70.45</v>
      </c>
      <c r="N232" s="240">
        <v>70.45</v>
      </c>
      <c r="O232" s="240">
        <v>70.45</v>
      </c>
      <c r="P232" s="240">
        <v>70.45</v>
      </c>
      <c r="Q232" s="240">
        <v>70.45</v>
      </c>
      <c r="R232" s="240">
        <v>70.45</v>
      </c>
      <c r="S232" s="233">
        <f t="shared" si="84"/>
        <v>847.20000000000016</v>
      </c>
      <c r="U232" s="240">
        <f t="shared" si="85"/>
        <v>1</v>
      </c>
      <c r="V232" s="240">
        <f t="shared" si="86"/>
        <v>1</v>
      </c>
      <c r="W232" s="240">
        <f t="shared" si="87"/>
        <v>1</v>
      </c>
      <c r="X232" s="240">
        <f t="shared" si="95"/>
        <v>1.0051100070972321</v>
      </c>
      <c r="Y232" s="240">
        <f t="shared" si="96"/>
        <v>1.0051100070972321</v>
      </c>
      <c r="Z232" s="240">
        <f t="shared" si="97"/>
        <v>1</v>
      </c>
      <c r="AA232" s="240">
        <f t="shared" si="98"/>
        <v>1</v>
      </c>
      <c r="AB232" s="240">
        <f t="shared" si="99"/>
        <v>1</v>
      </c>
      <c r="AC232" s="240">
        <f t="shared" si="94"/>
        <v>1</v>
      </c>
      <c r="AD232" s="240">
        <f t="shared" si="89"/>
        <v>1</v>
      </c>
      <c r="AE232" s="240">
        <f t="shared" si="90"/>
        <v>1</v>
      </c>
      <c r="AF232" s="240">
        <f t="shared" si="91"/>
        <v>1</v>
      </c>
      <c r="AG232" s="242">
        <f t="shared" si="92"/>
        <v>1.0008516678495387</v>
      </c>
      <c r="AH232" s="242">
        <f t="shared" ref="AH232:AH264" si="101">+SUM(U232:AF232)</f>
        <v>12.010220014194465</v>
      </c>
      <c r="AN232" s="241">
        <v>1</v>
      </c>
      <c r="AO232" s="242">
        <f t="shared" si="100"/>
        <v>1.0008516678495387</v>
      </c>
    </row>
    <row r="233" spans="1:41" s="241" customFormat="1" ht="12.75" x14ac:dyDescent="0.2">
      <c r="A233" s="232" t="s">
        <v>329</v>
      </c>
      <c r="B233" s="232" t="s">
        <v>374</v>
      </c>
      <c r="C233" s="238">
        <v>70.81</v>
      </c>
      <c r="D233" s="238">
        <v>70.45</v>
      </c>
      <c r="E233" s="238">
        <v>70.45</v>
      </c>
      <c r="F233" s="239">
        <v>40</v>
      </c>
      <c r="G233" s="233">
        <v>2815.87</v>
      </c>
      <c r="H233" s="233">
        <v>2832.4</v>
      </c>
      <c r="I233" s="233">
        <v>2867.79</v>
      </c>
      <c r="J233" s="233">
        <v>2874.8799999999997</v>
      </c>
      <c r="K233" s="233">
        <v>2886.68</v>
      </c>
      <c r="L233" s="233">
        <v>2869.66</v>
      </c>
      <c r="M233" s="240">
        <v>2888.45</v>
      </c>
      <c r="N233" s="240">
        <v>2888.45</v>
      </c>
      <c r="O233" s="240">
        <v>2888.45</v>
      </c>
      <c r="P233" s="240">
        <v>2958.9</v>
      </c>
      <c r="Q233" s="240">
        <v>3029.35</v>
      </c>
      <c r="R233" s="240">
        <v>3029.35</v>
      </c>
      <c r="S233" s="233">
        <f>SUM(G233:R233)</f>
        <v>34830.230000000003</v>
      </c>
      <c r="U233" s="240">
        <f t="shared" si="85"/>
        <v>39.766558395706816</v>
      </c>
      <c r="V233" s="240">
        <f t="shared" si="86"/>
        <v>40</v>
      </c>
      <c r="W233" s="240">
        <f t="shared" si="87"/>
        <v>40.499788165513344</v>
      </c>
      <c r="X233" s="240">
        <f t="shared" ref="X233:AB235" si="102">IFERROR(J233/$D233,0)</f>
        <v>40.80738112136266</v>
      </c>
      <c r="Y233" s="240">
        <f t="shared" si="102"/>
        <v>40.974875798438603</v>
      </c>
      <c r="Z233" s="240">
        <f t="shared" si="102"/>
        <v>40.733286018452802</v>
      </c>
      <c r="AA233" s="240">
        <f t="shared" si="102"/>
        <v>40.999999999999993</v>
      </c>
      <c r="AB233" s="240">
        <f t="shared" si="102"/>
        <v>40.999999999999993</v>
      </c>
      <c r="AC233" s="240">
        <f t="shared" si="94"/>
        <v>40.999999999999993</v>
      </c>
      <c r="AD233" s="240">
        <f t="shared" si="89"/>
        <v>42</v>
      </c>
      <c r="AE233" s="240">
        <f t="shared" si="90"/>
        <v>43</v>
      </c>
      <c r="AF233" s="240">
        <f t="shared" si="91"/>
        <v>43</v>
      </c>
      <c r="AG233" s="242">
        <f>IFERROR(AVERAGE(U233:AF233),0)</f>
        <v>41.148490791622855</v>
      </c>
      <c r="AH233" s="242">
        <f>+SUM(U233:AF233)</f>
        <v>493.78188949947423</v>
      </c>
      <c r="AN233" s="241">
        <v>1</v>
      </c>
      <c r="AO233" s="242">
        <f>+AN233*AG233</f>
        <v>41.148490791622855</v>
      </c>
    </row>
    <row r="234" spans="1:41" s="241" customFormat="1" ht="12.75" x14ac:dyDescent="0.2">
      <c r="A234" s="232" t="s">
        <v>330</v>
      </c>
      <c r="B234" s="232" t="s">
        <v>375</v>
      </c>
      <c r="C234" s="238">
        <v>70.81</v>
      </c>
      <c r="D234" s="238">
        <v>70.45</v>
      </c>
      <c r="E234" s="238">
        <v>70.45</v>
      </c>
      <c r="F234" s="239">
        <v>40</v>
      </c>
      <c r="G234" s="233">
        <v>2336.73</v>
      </c>
      <c r="H234" s="233">
        <v>2336.73</v>
      </c>
      <c r="I234" s="233">
        <v>2447.66</v>
      </c>
      <c r="J234" s="233">
        <v>2478.35</v>
      </c>
      <c r="K234" s="233">
        <v>2478.3500000000004</v>
      </c>
      <c r="L234" s="233">
        <v>2437.65</v>
      </c>
      <c r="M234" s="240">
        <v>2465.75</v>
      </c>
      <c r="N234" s="240">
        <v>2536.1999999999998</v>
      </c>
      <c r="O234" s="240">
        <v>2413.5699999999997</v>
      </c>
      <c r="P234" s="240">
        <v>2625.4399999999996</v>
      </c>
      <c r="Q234" s="240">
        <v>2606.6499999999996</v>
      </c>
      <c r="R234" s="240">
        <v>2606.6499999999996</v>
      </c>
      <c r="S234" s="233">
        <f>SUM(G234:R234)</f>
        <v>29769.730000000003</v>
      </c>
      <c r="U234" s="240">
        <f t="shared" si="85"/>
        <v>33</v>
      </c>
      <c r="V234" s="240">
        <f t="shared" si="86"/>
        <v>33</v>
      </c>
      <c r="W234" s="240">
        <f t="shared" si="87"/>
        <v>34.56658664030504</v>
      </c>
      <c r="X234" s="240">
        <f t="shared" si="102"/>
        <v>35.178850248403123</v>
      </c>
      <c r="Y234" s="240">
        <f t="shared" si="102"/>
        <v>35.17885024840313</v>
      </c>
      <c r="Z234" s="240">
        <f t="shared" si="102"/>
        <v>34.601135557132721</v>
      </c>
      <c r="AA234" s="240">
        <f t="shared" si="102"/>
        <v>35</v>
      </c>
      <c r="AB234" s="240">
        <f t="shared" si="102"/>
        <v>35.999999999999993</v>
      </c>
      <c r="AC234" s="240">
        <f t="shared" si="94"/>
        <v>34.259332860184522</v>
      </c>
      <c r="AD234" s="240">
        <f t="shared" si="89"/>
        <v>37.266713981547191</v>
      </c>
      <c r="AE234" s="240">
        <f t="shared" si="90"/>
        <v>36.999999999999993</v>
      </c>
      <c r="AF234" s="240">
        <f t="shared" si="91"/>
        <v>36.999999999999993</v>
      </c>
      <c r="AG234" s="242">
        <f>IFERROR(AVERAGE(U234:AF234),0)</f>
        <v>35.170955794664643</v>
      </c>
      <c r="AH234" s="242">
        <f>+SUM(U234:AF234)</f>
        <v>422.05146953597574</v>
      </c>
      <c r="AN234" s="241">
        <v>1</v>
      </c>
      <c r="AO234" s="242">
        <f>+AN234*AG234</f>
        <v>35.170955794664643</v>
      </c>
    </row>
    <row r="235" spans="1:41" s="241" customFormat="1" ht="12.75" x14ac:dyDescent="0.2">
      <c r="A235" s="232" t="s">
        <v>331</v>
      </c>
      <c r="B235" s="232" t="s">
        <v>376</v>
      </c>
      <c r="C235" s="238">
        <v>70.81</v>
      </c>
      <c r="D235" s="238">
        <v>70.45</v>
      </c>
      <c r="E235" s="238">
        <v>70.45</v>
      </c>
      <c r="F235" s="239">
        <v>40</v>
      </c>
      <c r="G235" s="233">
        <v>1852.86</v>
      </c>
      <c r="H235" s="233">
        <v>1911.87</v>
      </c>
      <c r="I235" s="233">
        <v>1911.87</v>
      </c>
      <c r="J235" s="233">
        <v>1923.67</v>
      </c>
      <c r="K235" s="233">
        <v>2169.13</v>
      </c>
      <c r="L235" s="233">
        <v>2113.5</v>
      </c>
      <c r="M235" s="240">
        <v>2158.12</v>
      </c>
      <c r="N235" s="240">
        <v>2141.6800000000003</v>
      </c>
      <c r="O235" s="240">
        <v>2125.2400000000002</v>
      </c>
      <c r="P235" s="240">
        <v>2118.2000000000003</v>
      </c>
      <c r="Q235" s="240">
        <v>2395.3000000000002</v>
      </c>
      <c r="R235" s="240">
        <v>2331.9</v>
      </c>
      <c r="S235" s="233">
        <f>SUM(G235:R235)</f>
        <v>25153.340000000004</v>
      </c>
      <c r="U235" s="240">
        <f t="shared" si="85"/>
        <v>26.16664312950148</v>
      </c>
      <c r="V235" s="240">
        <f t="shared" si="86"/>
        <v>26.999999999999996</v>
      </c>
      <c r="W235" s="240">
        <f t="shared" si="87"/>
        <v>26.999999999999996</v>
      </c>
      <c r="X235" s="240">
        <f t="shared" si="102"/>
        <v>27.305464868701208</v>
      </c>
      <c r="Y235" s="240">
        <f t="shared" si="102"/>
        <v>30.789638041163947</v>
      </c>
      <c r="Z235" s="240">
        <f t="shared" si="102"/>
        <v>30</v>
      </c>
      <c r="AA235" s="240">
        <f t="shared" si="102"/>
        <v>30.633356990773596</v>
      </c>
      <c r="AB235" s="240">
        <f t="shared" si="102"/>
        <v>30.400000000000002</v>
      </c>
      <c r="AC235" s="240">
        <f t="shared" si="94"/>
        <v>30.166643009226405</v>
      </c>
      <c r="AD235" s="240">
        <f t="shared" si="89"/>
        <v>30.066713981547199</v>
      </c>
      <c r="AE235" s="240">
        <f t="shared" si="90"/>
        <v>34</v>
      </c>
      <c r="AF235" s="240">
        <f t="shared" si="91"/>
        <v>33.100070972320793</v>
      </c>
      <c r="AG235" s="242">
        <f>IFERROR(AVERAGE(U235:AF235),0)</f>
        <v>29.719044249436219</v>
      </c>
      <c r="AH235" s="242">
        <f>+SUM(U235:AF235)</f>
        <v>356.62853099323462</v>
      </c>
      <c r="AN235" s="241">
        <v>1</v>
      </c>
      <c r="AO235" s="242">
        <f>+AN235*AG235</f>
        <v>29.719044249436219</v>
      </c>
    </row>
    <row r="236" spans="1:41" s="241" customFormat="1" ht="12.75" x14ac:dyDescent="0.2">
      <c r="A236" s="232" t="s">
        <v>662</v>
      </c>
      <c r="B236" s="232" t="s">
        <v>374</v>
      </c>
      <c r="C236" s="238">
        <v>70.81</v>
      </c>
      <c r="D236" s="238">
        <v>70.45</v>
      </c>
      <c r="E236" s="238">
        <v>70.45</v>
      </c>
      <c r="F236" s="239">
        <v>40</v>
      </c>
      <c r="G236" s="233">
        <v>101.28</v>
      </c>
      <c r="H236" s="233">
        <v>0</v>
      </c>
      <c r="I236" s="233">
        <v>0</v>
      </c>
      <c r="J236" s="233">
        <v>0</v>
      </c>
      <c r="K236" s="233">
        <v>0</v>
      </c>
      <c r="L236" s="233">
        <v>0</v>
      </c>
      <c r="M236" s="240">
        <v>0</v>
      </c>
      <c r="N236" s="240">
        <v>0</v>
      </c>
      <c r="O236" s="240">
        <v>0</v>
      </c>
      <c r="P236" s="240">
        <v>0</v>
      </c>
      <c r="Q236" s="240">
        <v>0</v>
      </c>
      <c r="R236" s="240">
        <v>0</v>
      </c>
      <c r="S236" s="233">
        <f t="shared" si="84"/>
        <v>101.28</v>
      </c>
      <c r="U236" s="240">
        <f t="shared" si="85"/>
        <v>1.4303064538906933</v>
      </c>
      <c r="V236" s="240">
        <f t="shared" si="86"/>
        <v>0</v>
      </c>
      <c r="W236" s="240">
        <f t="shared" si="87"/>
        <v>0</v>
      </c>
      <c r="X236" s="240">
        <f t="shared" si="95"/>
        <v>0</v>
      </c>
      <c r="Y236" s="240">
        <f t="shared" si="96"/>
        <v>0</v>
      </c>
      <c r="Z236" s="240">
        <f t="shared" si="97"/>
        <v>0</v>
      </c>
      <c r="AA236" s="240">
        <f t="shared" si="98"/>
        <v>0</v>
      </c>
      <c r="AB236" s="240">
        <f t="shared" si="99"/>
        <v>0</v>
      </c>
      <c r="AC236" s="240">
        <f t="shared" si="94"/>
        <v>0</v>
      </c>
      <c r="AD236" s="240">
        <f t="shared" si="89"/>
        <v>0</v>
      </c>
      <c r="AE236" s="240">
        <f t="shared" si="90"/>
        <v>0</v>
      </c>
      <c r="AF236" s="240">
        <f t="shared" si="91"/>
        <v>0</v>
      </c>
      <c r="AG236" s="242">
        <f t="shared" si="92"/>
        <v>0.11919220449089112</v>
      </c>
      <c r="AH236" s="242">
        <f t="shared" si="101"/>
        <v>1.4303064538906933</v>
      </c>
      <c r="AN236" s="241">
        <v>1</v>
      </c>
      <c r="AO236" s="242">
        <f t="shared" si="100"/>
        <v>0.11919220449089112</v>
      </c>
    </row>
    <row r="237" spans="1:41" s="241" customFormat="1" ht="12.75" x14ac:dyDescent="0.2">
      <c r="A237" s="232" t="s">
        <v>663</v>
      </c>
      <c r="B237" s="232" t="s">
        <v>375</v>
      </c>
      <c r="C237" s="238">
        <v>70.81</v>
      </c>
      <c r="D237" s="238">
        <v>70.45</v>
      </c>
      <c r="E237" s="238">
        <v>70.45</v>
      </c>
      <c r="F237" s="239">
        <v>40</v>
      </c>
      <c r="G237" s="233">
        <v>0</v>
      </c>
      <c r="H237" s="233">
        <v>0</v>
      </c>
      <c r="I237" s="233">
        <v>14.16</v>
      </c>
      <c r="J237" s="233">
        <v>0</v>
      </c>
      <c r="K237" s="233">
        <v>0</v>
      </c>
      <c r="L237" s="233">
        <v>0</v>
      </c>
      <c r="M237" s="240">
        <v>0</v>
      </c>
      <c r="N237" s="240">
        <v>0</v>
      </c>
      <c r="O237" s="240">
        <v>0</v>
      </c>
      <c r="P237" s="240">
        <v>0</v>
      </c>
      <c r="Q237" s="240">
        <v>0</v>
      </c>
      <c r="R237" s="240">
        <v>0</v>
      </c>
      <c r="S237" s="233">
        <f t="shared" ref="S237:S264" si="103">SUM(G237:R237)</f>
        <v>14.16</v>
      </c>
      <c r="U237" s="240">
        <f t="shared" si="85"/>
        <v>0</v>
      </c>
      <c r="V237" s="240">
        <f t="shared" si="86"/>
        <v>0</v>
      </c>
      <c r="W237" s="240">
        <f t="shared" si="87"/>
        <v>0.19997175540177942</v>
      </c>
      <c r="X237" s="240">
        <f t="shared" si="95"/>
        <v>0</v>
      </c>
      <c r="Y237" s="240">
        <f t="shared" si="96"/>
        <v>0</v>
      </c>
      <c r="Z237" s="240">
        <f t="shared" si="97"/>
        <v>0</v>
      </c>
      <c r="AA237" s="240">
        <f t="shared" si="98"/>
        <v>0</v>
      </c>
      <c r="AB237" s="240">
        <f t="shared" si="99"/>
        <v>0</v>
      </c>
      <c r="AC237" s="240">
        <f t="shared" si="94"/>
        <v>0</v>
      </c>
      <c r="AD237" s="240">
        <f t="shared" si="89"/>
        <v>0</v>
      </c>
      <c r="AE237" s="240">
        <f t="shared" si="90"/>
        <v>0</v>
      </c>
      <c r="AF237" s="240">
        <f t="shared" si="91"/>
        <v>0</v>
      </c>
      <c r="AG237" s="242">
        <f t="shared" ref="AG237:AG264" si="104">IFERROR(AVERAGE(U237:AF237),0)</f>
        <v>1.6664312950148284E-2</v>
      </c>
      <c r="AH237" s="242">
        <f t="shared" si="101"/>
        <v>0.19997175540177942</v>
      </c>
      <c r="AN237" s="241">
        <v>1</v>
      </c>
      <c r="AO237" s="242">
        <f t="shared" si="100"/>
        <v>1.6664312950148284E-2</v>
      </c>
    </row>
    <row r="238" spans="1:41" s="241" customFormat="1" ht="12.75" x14ac:dyDescent="0.2">
      <c r="A238" s="232" t="s">
        <v>664</v>
      </c>
      <c r="B238" s="232" t="s">
        <v>376</v>
      </c>
      <c r="C238" s="238">
        <v>70.81</v>
      </c>
      <c r="D238" s="238">
        <v>70.45</v>
      </c>
      <c r="E238" s="238">
        <v>70.45</v>
      </c>
      <c r="F238" s="239">
        <v>40</v>
      </c>
      <c r="G238" s="233">
        <v>0</v>
      </c>
      <c r="H238" s="233">
        <v>0</v>
      </c>
      <c r="I238" s="233">
        <v>7.08</v>
      </c>
      <c r="J238" s="233">
        <v>70.81</v>
      </c>
      <c r="K238" s="233">
        <v>0</v>
      </c>
      <c r="L238" s="233">
        <v>0</v>
      </c>
      <c r="M238" s="240">
        <v>0</v>
      </c>
      <c r="N238" s="240">
        <v>0</v>
      </c>
      <c r="O238" s="240">
        <v>0</v>
      </c>
      <c r="P238" s="240">
        <v>0</v>
      </c>
      <c r="Q238" s="240">
        <v>0</v>
      </c>
      <c r="R238" s="240">
        <v>0</v>
      </c>
      <c r="S238" s="233">
        <f t="shared" si="103"/>
        <v>77.89</v>
      </c>
      <c r="U238" s="240">
        <f t="shared" si="85"/>
        <v>0</v>
      </c>
      <c r="V238" s="240">
        <f t="shared" si="86"/>
        <v>0</v>
      </c>
      <c r="W238" s="240">
        <f t="shared" si="87"/>
        <v>9.9985877700889708E-2</v>
      </c>
      <c r="X238" s="240">
        <f t="shared" si="95"/>
        <v>1.0051100070972321</v>
      </c>
      <c r="Y238" s="240">
        <f t="shared" si="96"/>
        <v>0</v>
      </c>
      <c r="Z238" s="240">
        <f t="shared" si="97"/>
        <v>0</v>
      </c>
      <c r="AA238" s="240">
        <f t="shared" si="98"/>
        <v>0</v>
      </c>
      <c r="AB238" s="240">
        <f t="shared" si="99"/>
        <v>0</v>
      </c>
      <c r="AC238" s="240">
        <f t="shared" si="94"/>
        <v>0</v>
      </c>
      <c r="AD238" s="240">
        <f t="shared" si="89"/>
        <v>0</v>
      </c>
      <c r="AE238" s="240">
        <f t="shared" si="90"/>
        <v>0</v>
      </c>
      <c r="AF238" s="240">
        <f t="shared" si="91"/>
        <v>0</v>
      </c>
      <c r="AG238" s="242">
        <f t="shared" si="104"/>
        <v>9.2091323733176814E-2</v>
      </c>
      <c r="AH238" s="242">
        <f t="shared" si="101"/>
        <v>1.1050958847981218</v>
      </c>
      <c r="AN238" s="241">
        <v>1</v>
      </c>
      <c r="AO238" s="242">
        <f t="shared" si="100"/>
        <v>9.2091323733176814E-2</v>
      </c>
    </row>
    <row r="239" spans="1:41" s="241" customFormat="1" ht="12.75" x14ac:dyDescent="0.2">
      <c r="A239" s="232" t="s">
        <v>332</v>
      </c>
      <c r="B239" s="232" t="s">
        <v>377</v>
      </c>
      <c r="C239" s="238">
        <v>70.81</v>
      </c>
      <c r="D239" s="238">
        <v>70.45</v>
      </c>
      <c r="E239" s="238">
        <v>70.45</v>
      </c>
      <c r="F239" s="239">
        <v>40</v>
      </c>
      <c r="G239" s="233">
        <v>-66.100000000000009</v>
      </c>
      <c r="H239" s="233">
        <v>212.41</v>
      </c>
      <c r="I239" s="233">
        <v>264.34999999999997</v>
      </c>
      <c r="J239" s="233">
        <v>240.72</v>
      </c>
      <c r="K239" s="233">
        <v>84.97999999999999</v>
      </c>
      <c r="L239" s="233">
        <v>162.29</v>
      </c>
      <c r="M239" s="240">
        <v>0</v>
      </c>
      <c r="N239" s="240">
        <v>0</v>
      </c>
      <c r="O239" s="240">
        <v>46.96</v>
      </c>
      <c r="P239" s="240">
        <v>0</v>
      </c>
      <c r="Q239" s="240">
        <v>0</v>
      </c>
      <c r="R239" s="240">
        <v>0</v>
      </c>
      <c r="S239" s="233">
        <f t="shared" si="103"/>
        <v>945.61</v>
      </c>
      <c r="U239" s="240">
        <f t="shared" si="85"/>
        <v>-0.93348397119050985</v>
      </c>
      <c r="V239" s="240">
        <f t="shared" si="86"/>
        <v>2.9997175540177938</v>
      </c>
      <c r="W239" s="240">
        <f t="shared" si="87"/>
        <v>3.733229769806524</v>
      </c>
      <c r="X239" s="240">
        <f t="shared" si="95"/>
        <v>3.4168914123491838</v>
      </c>
      <c r="Y239" s="240">
        <f t="shared" si="96"/>
        <v>1.2062455642299501</v>
      </c>
      <c r="Z239" s="240">
        <f t="shared" si="97"/>
        <v>2.3036195883605393</v>
      </c>
      <c r="AA239" s="240">
        <f t="shared" si="98"/>
        <v>0</v>
      </c>
      <c r="AB239" s="240">
        <f t="shared" si="99"/>
        <v>0</v>
      </c>
      <c r="AC239" s="240">
        <f t="shared" si="94"/>
        <v>0.66657203690560685</v>
      </c>
      <c r="AD239" s="240">
        <f t="shared" si="89"/>
        <v>0</v>
      </c>
      <c r="AE239" s="240">
        <f t="shared" si="90"/>
        <v>0</v>
      </c>
      <c r="AF239" s="240">
        <f t="shared" si="91"/>
        <v>0</v>
      </c>
      <c r="AG239" s="242">
        <f t="shared" si="104"/>
        <v>1.1160659962065906</v>
      </c>
      <c r="AH239" s="242">
        <f t="shared" si="101"/>
        <v>13.392791954479087</v>
      </c>
      <c r="AN239" s="241">
        <v>1</v>
      </c>
      <c r="AO239" s="242">
        <f t="shared" si="100"/>
        <v>1.1160659962065906</v>
      </c>
    </row>
    <row r="240" spans="1:41" s="241" customFormat="1" ht="12.75" x14ac:dyDescent="0.2">
      <c r="A240" s="232" t="s">
        <v>333</v>
      </c>
      <c r="B240" s="232" t="s">
        <v>378</v>
      </c>
      <c r="C240" s="238">
        <v>70.81</v>
      </c>
      <c r="D240" s="238">
        <v>70.45</v>
      </c>
      <c r="E240" s="238">
        <v>70.45</v>
      </c>
      <c r="F240" s="239">
        <v>40</v>
      </c>
      <c r="G240" s="233">
        <v>7299.3499999999995</v>
      </c>
      <c r="H240" s="233">
        <v>7876.01</v>
      </c>
      <c r="I240" s="233">
        <v>7951.06</v>
      </c>
      <c r="J240" s="233">
        <v>8636.7899999999991</v>
      </c>
      <c r="K240" s="233">
        <v>8817.01</v>
      </c>
      <c r="L240" s="233">
        <v>8458.2900000000009</v>
      </c>
      <c r="M240" s="240">
        <v>8279.25</v>
      </c>
      <c r="N240" s="240">
        <v>7547.5800000000008</v>
      </c>
      <c r="O240" s="240">
        <v>6805.51</v>
      </c>
      <c r="P240" s="240">
        <v>6352.2999999999993</v>
      </c>
      <c r="Q240" s="240">
        <v>5635.58</v>
      </c>
      <c r="R240" s="240">
        <v>7411.41</v>
      </c>
      <c r="S240" s="233">
        <f t="shared" si="103"/>
        <v>91070.140000000014</v>
      </c>
      <c r="U240" s="240">
        <f t="shared" si="85"/>
        <v>103.08360401073294</v>
      </c>
      <c r="V240" s="240">
        <f t="shared" si="86"/>
        <v>111.22736901567575</v>
      </c>
      <c r="W240" s="240">
        <f t="shared" si="87"/>
        <v>112.28724756390341</v>
      </c>
      <c r="X240" s="240">
        <f t="shared" si="95"/>
        <v>122.59460610361957</v>
      </c>
      <c r="Y240" s="240">
        <f t="shared" si="96"/>
        <v>125.1527324343506</v>
      </c>
      <c r="Z240" s="240">
        <f t="shared" si="97"/>
        <v>120.06089425124202</v>
      </c>
      <c r="AA240" s="240">
        <f t="shared" si="98"/>
        <v>117.51951738821859</v>
      </c>
      <c r="AB240" s="240">
        <f t="shared" si="99"/>
        <v>107.13385379701917</v>
      </c>
      <c r="AC240" s="240">
        <f t="shared" si="94"/>
        <v>96.600567778566358</v>
      </c>
      <c r="AD240" s="240">
        <f t="shared" si="89"/>
        <v>90.167494677075922</v>
      </c>
      <c r="AE240" s="240">
        <f t="shared" si="90"/>
        <v>79.994038325053225</v>
      </c>
      <c r="AF240" s="240">
        <f t="shared" si="91"/>
        <v>105.20099361249112</v>
      </c>
      <c r="AG240" s="242">
        <f t="shared" si="104"/>
        <v>107.58524324649572</v>
      </c>
      <c r="AH240" s="242">
        <f t="shared" si="101"/>
        <v>1291.0229189579486</v>
      </c>
      <c r="AN240" s="241">
        <v>1</v>
      </c>
      <c r="AO240" s="242">
        <f t="shared" si="100"/>
        <v>107.58524324649572</v>
      </c>
    </row>
    <row r="241" spans="1:41" s="241" customFormat="1" ht="12.75" x14ac:dyDescent="0.2">
      <c r="A241" s="232" t="s">
        <v>906</v>
      </c>
      <c r="B241" s="232" t="s">
        <v>374</v>
      </c>
      <c r="C241" s="238">
        <v>70.81</v>
      </c>
      <c r="D241" s="238">
        <v>70.45</v>
      </c>
      <c r="E241" s="238">
        <v>70.45</v>
      </c>
      <c r="F241" s="239">
        <v>40</v>
      </c>
      <c r="G241" s="233">
        <v>0</v>
      </c>
      <c r="H241" s="233">
        <v>0</v>
      </c>
      <c r="I241" s="233">
        <v>0</v>
      </c>
      <c r="J241" s="233">
        <v>0</v>
      </c>
      <c r="K241" s="233">
        <v>0</v>
      </c>
      <c r="L241" s="233">
        <v>0</v>
      </c>
      <c r="M241" s="240">
        <v>0</v>
      </c>
      <c r="N241" s="240">
        <v>0</v>
      </c>
      <c r="O241" s="240">
        <v>0</v>
      </c>
      <c r="P241" s="240">
        <v>0</v>
      </c>
      <c r="Q241" s="240">
        <v>0</v>
      </c>
      <c r="R241" s="240">
        <v>-268.23</v>
      </c>
      <c r="S241" s="233">
        <f t="shared" si="103"/>
        <v>-268.23</v>
      </c>
      <c r="U241" s="240">
        <f t="shared" si="85"/>
        <v>0</v>
      </c>
      <c r="V241" s="240">
        <f t="shared" si="86"/>
        <v>0</v>
      </c>
      <c r="W241" s="240">
        <f t="shared" si="87"/>
        <v>0</v>
      </c>
      <c r="X241" s="240">
        <f t="shared" si="95"/>
        <v>0</v>
      </c>
      <c r="Y241" s="240">
        <f t="shared" si="96"/>
        <v>0</v>
      </c>
      <c r="Z241" s="240">
        <f t="shared" si="97"/>
        <v>0</v>
      </c>
      <c r="AA241" s="240">
        <f t="shared" si="98"/>
        <v>0</v>
      </c>
      <c r="AB241" s="240">
        <f t="shared" si="99"/>
        <v>0</v>
      </c>
      <c r="AC241" s="240">
        <f t="shared" si="94"/>
        <v>0</v>
      </c>
      <c r="AD241" s="240">
        <f t="shared" si="89"/>
        <v>0</v>
      </c>
      <c r="AE241" s="240">
        <f t="shared" si="90"/>
        <v>0</v>
      </c>
      <c r="AF241" s="240">
        <f t="shared" si="91"/>
        <v>-3.8073811213626687</v>
      </c>
      <c r="AG241" s="242">
        <f t="shared" si="104"/>
        <v>-0.31728176011355574</v>
      </c>
      <c r="AH241" s="242">
        <f t="shared" si="101"/>
        <v>-3.8073811213626687</v>
      </c>
      <c r="AN241" s="241">
        <v>1</v>
      </c>
      <c r="AO241" s="242">
        <f t="shared" si="100"/>
        <v>-0.31728176011355574</v>
      </c>
    </row>
    <row r="242" spans="1:41" s="241" customFormat="1" ht="12.75" x14ac:dyDescent="0.2">
      <c r="A242" s="232" t="s">
        <v>907</v>
      </c>
      <c r="B242" s="232" t="s">
        <v>375</v>
      </c>
      <c r="C242" s="238">
        <v>70.81</v>
      </c>
      <c r="D242" s="238">
        <v>70.45</v>
      </c>
      <c r="E242" s="238">
        <v>70.45</v>
      </c>
      <c r="F242" s="239">
        <v>40</v>
      </c>
      <c r="G242" s="233">
        <v>0</v>
      </c>
      <c r="H242" s="233">
        <v>0</v>
      </c>
      <c r="I242" s="233">
        <v>0</v>
      </c>
      <c r="J242" s="233">
        <v>16.52</v>
      </c>
      <c r="K242" s="233">
        <v>0</v>
      </c>
      <c r="L242" s="233">
        <v>0</v>
      </c>
      <c r="M242" s="240">
        <v>0</v>
      </c>
      <c r="N242" s="240">
        <v>0</v>
      </c>
      <c r="O242" s="240">
        <v>0</v>
      </c>
      <c r="P242" s="240">
        <v>0</v>
      </c>
      <c r="Q242" s="240">
        <v>-393.23</v>
      </c>
      <c r="R242" s="240">
        <v>0</v>
      </c>
      <c r="S242" s="233">
        <f t="shared" si="103"/>
        <v>-376.71000000000004</v>
      </c>
      <c r="U242" s="240">
        <f t="shared" si="85"/>
        <v>0</v>
      </c>
      <c r="V242" s="240">
        <f t="shared" si="86"/>
        <v>0</v>
      </c>
      <c r="W242" s="240">
        <f t="shared" si="87"/>
        <v>0</v>
      </c>
      <c r="X242" s="240">
        <f t="shared" si="95"/>
        <v>0.23449254790631652</v>
      </c>
      <c r="Y242" s="240">
        <f t="shared" si="96"/>
        <v>0</v>
      </c>
      <c r="Z242" s="240">
        <f t="shared" si="97"/>
        <v>0</v>
      </c>
      <c r="AA242" s="240">
        <f t="shared" si="98"/>
        <v>0</v>
      </c>
      <c r="AB242" s="240">
        <f t="shared" si="99"/>
        <v>0</v>
      </c>
      <c r="AC242" s="240">
        <f t="shared" si="94"/>
        <v>0</v>
      </c>
      <c r="AD242" s="240">
        <f t="shared" si="89"/>
        <v>0</v>
      </c>
      <c r="AE242" s="240">
        <f t="shared" si="90"/>
        <v>-5.5816891412349188</v>
      </c>
      <c r="AF242" s="240">
        <f t="shared" si="91"/>
        <v>0</v>
      </c>
      <c r="AG242" s="242">
        <f t="shared" si="104"/>
        <v>-0.44559971611071686</v>
      </c>
      <c r="AH242" s="242">
        <f t="shared" si="101"/>
        <v>-5.3471965933286025</v>
      </c>
      <c r="AN242" s="241">
        <v>1</v>
      </c>
      <c r="AO242" s="242">
        <f t="shared" si="100"/>
        <v>-0.44559971611071686</v>
      </c>
    </row>
    <row r="243" spans="1:41" s="241" customFormat="1" ht="12.75" x14ac:dyDescent="0.2">
      <c r="A243" s="232" t="s">
        <v>334</v>
      </c>
      <c r="B243" s="232" t="s">
        <v>379</v>
      </c>
      <c r="C243" s="238">
        <v>70.81</v>
      </c>
      <c r="D243" s="238">
        <v>70.45</v>
      </c>
      <c r="E243" s="238">
        <v>70.45</v>
      </c>
      <c r="F243" s="239">
        <v>40</v>
      </c>
      <c r="G243" s="233">
        <v>5926.5300000000007</v>
      </c>
      <c r="H243" s="233">
        <v>6950.8599999999988</v>
      </c>
      <c r="I243" s="233">
        <v>7385.0600000000013</v>
      </c>
      <c r="J243" s="233">
        <v>8367</v>
      </c>
      <c r="K243" s="233">
        <v>8423.68</v>
      </c>
      <c r="L243" s="233">
        <v>8123.329999999999</v>
      </c>
      <c r="M243" s="240">
        <v>7648.3700000000008</v>
      </c>
      <c r="N243" s="240">
        <v>6669.33</v>
      </c>
      <c r="O243" s="240">
        <v>5811.97</v>
      </c>
      <c r="P243" s="240">
        <v>6291.21</v>
      </c>
      <c r="Q243" s="240">
        <v>7270.5300000000007</v>
      </c>
      <c r="R243" s="240">
        <v>6861.8399999999992</v>
      </c>
      <c r="S243" s="233">
        <f t="shared" si="103"/>
        <v>85729.71</v>
      </c>
      <c r="U243" s="240">
        <f t="shared" si="85"/>
        <v>83.696229346137557</v>
      </c>
      <c r="V243" s="240">
        <f t="shared" si="86"/>
        <v>98.162123993786167</v>
      </c>
      <c r="W243" s="240">
        <f t="shared" si="87"/>
        <v>104.29402626747635</v>
      </c>
      <c r="X243" s="240">
        <f t="shared" si="95"/>
        <v>118.76508161816891</v>
      </c>
      <c r="Y243" s="240">
        <f t="shared" si="96"/>
        <v>119.56962384669978</v>
      </c>
      <c r="Z243" s="240">
        <f t="shared" si="97"/>
        <v>115.30631653655072</v>
      </c>
      <c r="AA243" s="240">
        <f t="shared" si="98"/>
        <v>108.56451383960257</v>
      </c>
      <c r="AB243" s="240">
        <f t="shared" si="99"/>
        <v>94.667565649396735</v>
      </c>
      <c r="AC243" s="240">
        <f t="shared" si="94"/>
        <v>82.497799858055359</v>
      </c>
      <c r="AD243" s="240">
        <f t="shared" si="89"/>
        <v>89.300354861603978</v>
      </c>
      <c r="AE243" s="240">
        <f t="shared" si="90"/>
        <v>103.20127750177431</v>
      </c>
      <c r="AF243" s="240">
        <f t="shared" si="91"/>
        <v>97.400141944641575</v>
      </c>
      <c r="AG243" s="242">
        <f t="shared" si="104"/>
        <v>101.28542127199115</v>
      </c>
      <c r="AH243" s="242">
        <f t="shared" si="101"/>
        <v>1215.4250552638939</v>
      </c>
      <c r="AN243" s="241">
        <v>1</v>
      </c>
      <c r="AO243" s="242">
        <f t="shared" si="100"/>
        <v>101.28542127199115</v>
      </c>
    </row>
    <row r="244" spans="1:41" s="241" customFormat="1" ht="12.75" x14ac:dyDescent="0.2">
      <c r="A244" s="232" t="s">
        <v>335</v>
      </c>
      <c r="B244" s="232" t="s">
        <v>380</v>
      </c>
      <c r="C244" s="238">
        <v>70.81</v>
      </c>
      <c r="D244" s="238">
        <v>70.45</v>
      </c>
      <c r="E244" s="238">
        <v>70.45</v>
      </c>
      <c r="F244" s="239">
        <v>40</v>
      </c>
      <c r="G244" s="233">
        <v>6724.36</v>
      </c>
      <c r="H244" s="233">
        <v>6615.79</v>
      </c>
      <c r="I244" s="233">
        <v>6913.14</v>
      </c>
      <c r="J244" s="233">
        <v>7229.27</v>
      </c>
      <c r="K244" s="233">
        <v>7120.85</v>
      </c>
      <c r="L244" s="233">
        <v>6960.46</v>
      </c>
      <c r="M244" s="240">
        <v>6452.65</v>
      </c>
      <c r="N244" s="240">
        <v>6028.2300000000005</v>
      </c>
      <c r="O244" s="240">
        <v>5967.16</v>
      </c>
      <c r="P244" s="240">
        <v>5704.16</v>
      </c>
      <c r="Q244" s="240">
        <v>5614.9299999999994</v>
      </c>
      <c r="R244" s="240">
        <v>6082.5800000000008</v>
      </c>
      <c r="S244" s="233">
        <f t="shared" si="103"/>
        <v>77413.58</v>
      </c>
      <c r="U244" s="240">
        <f t="shared" si="85"/>
        <v>94.963423245304327</v>
      </c>
      <c r="V244" s="240">
        <f t="shared" si="86"/>
        <v>93.43016523089959</v>
      </c>
      <c r="W244" s="240">
        <f t="shared" si="87"/>
        <v>97.629430871345861</v>
      </c>
      <c r="X244" s="240">
        <f t="shared" si="95"/>
        <v>102.61561391057488</v>
      </c>
      <c r="Y244" s="240">
        <f t="shared" si="96"/>
        <v>101.07665010645849</v>
      </c>
      <c r="Z244" s="240">
        <f t="shared" si="97"/>
        <v>98.8</v>
      </c>
      <c r="AA244" s="240">
        <f t="shared" si="98"/>
        <v>91.591909155429377</v>
      </c>
      <c r="AB244" s="240">
        <f t="shared" si="99"/>
        <v>85.567494677075942</v>
      </c>
      <c r="AC244" s="240">
        <f t="shared" si="94"/>
        <v>84.700638750887151</v>
      </c>
      <c r="AD244" s="240">
        <f t="shared" si="89"/>
        <v>80.967494677075933</v>
      </c>
      <c r="AE244" s="240">
        <f t="shared" si="90"/>
        <v>79.700922640170319</v>
      </c>
      <c r="AF244" s="240">
        <f t="shared" si="91"/>
        <v>86.338963804116403</v>
      </c>
      <c r="AG244" s="242">
        <f t="shared" si="104"/>
        <v>91.44855892244486</v>
      </c>
      <c r="AH244" s="242">
        <f t="shared" si="101"/>
        <v>1097.3827070693383</v>
      </c>
      <c r="AN244" s="241">
        <v>1</v>
      </c>
      <c r="AO244" s="242">
        <f t="shared" si="100"/>
        <v>91.44855892244486</v>
      </c>
    </row>
    <row r="245" spans="1:41" s="247" customFormat="1" ht="12.75" x14ac:dyDescent="0.2">
      <c r="A245" s="232" t="s">
        <v>908</v>
      </c>
      <c r="B245" s="232" t="s">
        <v>376</v>
      </c>
      <c r="C245" s="238">
        <v>70.81</v>
      </c>
      <c r="D245" s="238">
        <v>70.45</v>
      </c>
      <c r="E245" s="238">
        <v>70.45</v>
      </c>
      <c r="F245" s="239">
        <v>40</v>
      </c>
      <c r="G245" s="245">
        <v>0</v>
      </c>
      <c r="H245" s="245">
        <v>0</v>
      </c>
      <c r="I245" s="245">
        <v>0</v>
      </c>
      <c r="J245" s="245">
        <v>0</v>
      </c>
      <c r="K245" s="245">
        <v>0</v>
      </c>
      <c r="L245" s="245">
        <v>0</v>
      </c>
      <c r="M245" s="246">
        <v>0</v>
      </c>
      <c r="N245" s="246">
        <v>0</v>
      </c>
      <c r="O245" s="246">
        <v>0</v>
      </c>
      <c r="P245" s="246">
        <v>0</v>
      </c>
      <c r="Q245" s="246">
        <v>0</v>
      </c>
      <c r="R245" s="246">
        <v>0</v>
      </c>
      <c r="S245" s="233">
        <f t="shared" si="103"/>
        <v>0</v>
      </c>
      <c r="U245" s="240">
        <f t="shared" si="85"/>
        <v>0</v>
      </c>
      <c r="V245" s="240">
        <f t="shared" si="86"/>
        <v>0</v>
      </c>
      <c r="W245" s="240">
        <f t="shared" si="87"/>
        <v>0</v>
      </c>
      <c r="X245" s="240">
        <f t="shared" si="95"/>
        <v>0</v>
      </c>
      <c r="Y245" s="240">
        <f t="shared" si="96"/>
        <v>0</v>
      </c>
      <c r="Z245" s="240">
        <f t="shared" si="97"/>
        <v>0</v>
      </c>
      <c r="AA245" s="240">
        <f t="shared" si="98"/>
        <v>0</v>
      </c>
      <c r="AB245" s="240">
        <f t="shared" si="99"/>
        <v>0</v>
      </c>
      <c r="AC245" s="240">
        <f t="shared" si="94"/>
        <v>0</v>
      </c>
      <c r="AD245" s="240">
        <f t="shared" si="89"/>
        <v>0</v>
      </c>
      <c r="AE245" s="240">
        <f t="shared" si="90"/>
        <v>0</v>
      </c>
      <c r="AF245" s="240">
        <f t="shared" si="91"/>
        <v>0</v>
      </c>
      <c r="AG245" s="242">
        <f t="shared" si="104"/>
        <v>0</v>
      </c>
      <c r="AH245" s="242">
        <f t="shared" si="101"/>
        <v>0</v>
      </c>
      <c r="AI245" s="241"/>
      <c r="AN245" s="247">
        <v>1</v>
      </c>
      <c r="AO245" s="242">
        <f t="shared" si="100"/>
        <v>0</v>
      </c>
    </row>
    <row r="246" spans="1:41" ht="12.75" x14ac:dyDescent="0.2">
      <c r="A246" s="58" t="s">
        <v>1306</v>
      </c>
      <c r="B246" s="58" t="s">
        <v>1314</v>
      </c>
      <c r="C246" s="11">
        <v>75.67</v>
      </c>
      <c r="D246" s="11">
        <v>75.290000000000006</v>
      </c>
      <c r="E246" s="11">
        <v>75.83</v>
      </c>
      <c r="F246" s="248">
        <v>36</v>
      </c>
      <c r="G246" s="12">
        <v>0</v>
      </c>
      <c r="H246" s="12">
        <v>0</v>
      </c>
      <c r="I246" s="12">
        <v>0</v>
      </c>
      <c r="J246" s="12">
        <v>0</v>
      </c>
      <c r="K246" s="12">
        <v>0</v>
      </c>
      <c r="L246" s="12">
        <v>75.290000000000006</v>
      </c>
      <c r="M246" s="13">
        <v>150.58000000000001</v>
      </c>
      <c r="N246" s="13">
        <v>75.290000000000006</v>
      </c>
      <c r="O246" s="13">
        <v>150.58000000000001</v>
      </c>
      <c r="P246" s="13">
        <v>0.54</v>
      </c>
      <c r="Q246" s="13">
        <v>0</v>
      </c>
      <c r="R246" s="13">
        <v>0</v>
      </c>
      <c r="S246" s="12">
        <f>SUM(G246:R246)</f>
        <v>452.28000000000003</v>
      </c>
      <c r="U246" s="13">
        <f t="shared" si="85"/>
        <v>0</v>
      </c>
      <c r="V246" s="13">
        <f t="shared" si="86"/>
        <v>0</v>
      </c>
      <c r="W246" s="13">
        <f t="shared" si="87"/>
        <v>0</v>
      </c>
      <c r="X246" s="13">
        <f t="shared" ref="X246:AB247" si="105">IFERROR(J246/$D246,0)</f>
        <v>0</v>
      </c>
      <c r="Y246" s="13">
        <f t="shared" si="105"/>
        <v>0</v>
      </c>
      <c r="Z246" s="13">
        <f t="shared" si="105"/>
        <v>1</v>
      </c>
      <c r="AA246" s="13">
        <f t="shared" si="105"/>
        <v>2</v>
      </c>
      <c r="AB246" s="13">
        <f t="shared" si="105"/>
        <v>1</v>
      </c>
      <c r="AC246" s="13">
        <f t="shared" si="94"/>
        <v>1.9857576157193726</v>
      </c>
      <c r="AD246" s="13">
        <f t="shared" si="89"/>
        <v>7.1211921403138605E-3</v>
      </c>
      <c r="AE246" s="13">
        <f t="shared" si="90"/>
        <v>0</v>
      </c>
      <c r="AF246" s="13">
        <f t="shared" si="91"/>
        <v>0</v>
      </c>
      <c r="AG246" s="15">
        <f>IFERROR(AVERAGE(U246:AF246),0)</f>
        <v>0.49940656732164057</v>
      </c>
      <c r="AH246" s="15">
        <f>+SUM(U246:AF246)</f>
        <v>5.9928788078596869</v>
      </c>
    </row>
    <row r="247" spans="1:41" ht="12.75" x14ac:dyDescent="0.2">
      <c r="A247" s="58" t="s">
        <v>1217</v>
      </c>
      <c r="B247" s="58" t="s">
        <v>1218</v>
      </c>
      <c r="C247" s="11">
        <v>79.41</v>
      </c>
      <c r="D247" s="11">
        <v>79.02</v>
      </c>
      <c r="E247" s="11">
        <v>79.73</v>
      </c>
      <c r="F247" s="248">
        <v>36</v>
      </c>
      <c r="G247" s="12">
        <v>0</v>
      </c>
      <c r="H247" s="12">
        <v>0</v>
      </c>
      <c r="I247" s="12">
        <v>0</v>
      </c>
      <c r="J247" s="12">
        <v>0</v>
      </c>
      <c r="K247" s="12">
        <v>0</v>
      </c>
      <c r="L247" s="12">
        <v>0</v>
      </c>
      <c r="M247" s="13">
        <v>79.02</v>
      </c>
      <c r="N247" s="13">
        <v>316.08</v>
      </c>
      <c r="O247" s="13">
        <v>0</v>
      </c>
      <c r="P247" s="13">
        <v>239.19</v>
      </c>
      <c r="Q247" s="13">
        <v>159.46</v>
      </c>
      <c r="R247" s="13">
        <v>79.73</v>
      </c>
      <c r="S247" s="12">
        <f>SUM(G247:R247)</f>
        <v>873.48</v>
      </c>
      <c r="U247" s="13">
        <f t="shared" si="85"/>
        <v>0</v>
      </c>
      <c r="V247" s="13">
        <f t="shared" si="86"/>
        <v>0</v>
      </c>
      <c r="W247" s="13">
        <f t="shared" si="87"/>
        <v>0</v>
      </c>
      <c r="X247" s="13">
        <f t="shared" si="105"/>
        <v>0</v>
      </c>
      <c r="Y247" s="13">
        <f t="shared" si="105"/>
        <v>0</v>
      </c>
      <c r="Z247" s="13">
        <f t="shared" si="105"/>
        <v>0</v>
      </c>
      <c r="AA247" s="13">
        <f t="shared" si="105"/>
        <v>1</v>
      </c>
      <c r="AB247" s="13">
        <f t="shared" si="105"/>
        <v>4</v>
      </c>
      <c r="AC247" s="13">
        <f t="shared" si="94"/>
        <v>0</v>
      </c>
      <c r="AD247" s="13">
        <f t="shared" si="89"/>
        <v>3</v>
      </c>
      <c r="AE247" s="13">
        <f t="shared" si="90"/>
        <v>2</v>
      </c>
      <c r="AF247" s="13">
        <f t="shared" si="91"/>
        <v>1</v>
      </c>
      <c r="AG247" s="15">
        <f>IFERROR(AVERAGE(U247:AF247),0)</f>
        <v>0.91666666666666663</v>
      </c>
      <c r="AH247" s="15">
        <f>+SUM(U247:AF247)</f>
        <v>11</v>
      </c>
    </row>
    <row r="248" spans="1:41" ht="12.75" x14ac:dyDescent="0.2">
      <c r="A248" s="58" t="s">
        <v>1287</v>
      </c>
      <c r="B248" s="58" t="s">
        <v>1288</v>
      </c>
      <c r="C248" s="11">
        <v>86.95</v>
      </c>
      <c r="D248" s="11">
        <v>86.52</v>
      </c>
      <c r="E248" s="11">
        <v>87.54</v>
      </c>
      <c r="F248" s="248">
        <v>36</v>
      </c>
      <c r="G248" s="12">
        <v>0</v>
      </c>
      <c r="H248" s="12">
        <v>0</v>
      </c>
      <c r="I248" s="12">
        <v>0</v>
      </c>
      <c r="J248" s="12">
        <v>0</v>
      </c>
      <c r="K248" s="12">
        <v>0</v>
      </c>
      <c r="L248" s="12">
        <v>346.08</v>
      </c>
      <c r="M248" s="13">
        <v>519.12</v>
      </c>
      <c r="N248" s="13">
        <v>432.6</v>
      </c>
      <c r="O248" s="13">
        <v>432.6</v>
      </c>
      <c r="P248" s="13">
        <v>0</v>
      </c>
      <c r="Q248" s="13">
        <v>350.16</v>
      </c>
      <c r="R248" s="13">
        <v>525.24</v>
      </c>
      <c r="S248" s="12">
        <f t="shared" si="103"/>
        <v>2605.8000000000002</v>
      </c>
      <c r="U248" s="13">
        <f t="shared" si="85"/>
        <v>0</v>
      </c>
      <c r="V248" s="13">
        <f t="shared" si="86"/>
        <v>0</v>
      </c>
      <c r="W248" s="13">
        <f t="shared" si="87"/>
        <v>0</v>
      </c>
      <c r="X248" s="13">
        <f t="shared" si="95"/>
        <v>0</v>
      </c>
      <c r="Y248" s="13">
        <f t="shared" si="96"/>
        <v>0</v>
      </c>
      <c r="Z248" s="13">
        <f t="shared" si="97"/>
        <v>4</v>
      </c>
      <c r="AA248" s="13">
        <f t="shared" si="98"/>
        <v>6</v>
      </c>
      <c r="AB248" s="13">
        <f t="shared" si="99"/>
        <v>5.0000000000000009</v>
      </c>
      <c r="AC248" s="13">
        <f t="shared" si="94"/>
        <v>4.9417409184372856</v>
      </c>
      <c r="AD248" s="13">
        <f t="shared" si="89"/>
        <v>0</v>
      </c>
      <c r="AE248" s="13">
        <f t="shared" si="90"/>
        <v>4</v>
      </c>
      <c r="AF248" s="13">
        <f t="shared" si="91"/>
        <v>6</v>
      </c>
      <c r="AG248" s="15">
        <f t="shared" si="104"/>
        <v>2.4951450765364407</v>
      </c>
      <c r="AH248" s="15">
        <f t="shared" si="101"/>
        <v>29.941740918437286</v>
      </c>
    </row>
    <row r="249" spans="1:41" ht="12.75" x14ac:dyDescent="0.2">
      <c r="A249" s="58" t="s">
        <v>1289</v>
      </c>
      <c r="B249" s="58" t="s">
        <v>1290</v>
      </c>
      <c r="C249" s="11">
        <v>134.80000000000001</v>
      </c>
      <c r="D249" s="11">
        <v>134.13</v>
      </c>
      <c r="E249" s="11">
        <v>134.84</v>
      </c>
      <c r="F249" s="248">
        <v>36</v>
      </c>
      <c r="G249" s="12">
        <v>0</v>
      </c>
      <c r="H249" s="12">
        <v>0</v>
      </c>
      <c r="I249" s="12">
        <v>0</v>
      </c>
      <c r="J249" s="12">
        <v>0</v>
      </c>
      <c r="K249" s="12">
        <v>0</v>
      </c>
      <c r="L249" s="12">
        <v>0</v>
      </c>
      <c r="M249" s="13">
        <v>134.13</v>
      </c>
      <c r="N249" s="13">
        <v>134.13</v>
      </c>
      <c r="O249" s="13">
        <v>0</v>
      </c>
      <c r="P249" s="13">
        <v>0</v>
      </c>
      <c r="Q249" s="13">
        <v>0</v>
      </c>
      <c r="R249" s="13">
        <v>0</v>
      </c>
      <c r="S249" s="12">
        <f>SUM(G249:R249)</f>
        <v>268.26</v>
      </c>
      <c r="U249" s="13">
        <f t="shared" si="85"/>
        <v>0</v>
      </c>
      <c r="V249" s="13">
        <f t="shared" si="86"/>
        <v>0</v>
      </c>
      <c r="W249" s="13">
        <f t="shared" si="87"/>
        <v>0</v>
      </c>
      <c r="X249" s="13">
        <f t="shared" ref="X249:AB250" si="106">IFERROR(J249/$D249,0)</f>
        <v>0</v>
      </c>
      <c r="Y249" s="13">
        <f t="shared" si="106"/>
        <v>0</v>
      </c>
      <c r="Z249" s="13">
        <f t="shared" si="106"/>
        <v>0</v>
      </c>
      <c r="AA249" s="13">
        <f t="shared" si="106"/>
        <v>1</v>
      </c>
      <c r="AB249" s="13">
        <f t="shared" si="106"/>
        <v>1</v>
      </c>
      <c r="AC249" s="13">
        <f t="shared" si="94"/>
        <v>0</v>
      </c>
      <c r="AD249" s="13">
        <f t="shared" si="89"/>
        <v>0</v>
      </c>
      <c r="AE249" s="13">
        <f t="shared" si="90"/>
        <v>0</v>
      </c>
      <c r="AF249" s="13">
        <f t="shared" si="91"/>
        <v>0</v>
      </c>
      <c r="AG249" s="15">
        <f>IFERROR(AVERAGE(U249:AF249),0)</f>
        <v>0.16666666666666666</v>
      </c>
      <c r="AH249" s="15">
        <f>+SUM(U249:AF249)</f>
        <v>2</v>
      </c>
    </row>
    <row r="250" spans="1:41" ht="12.75" x14ac:dyDescent="0.2">
      <c r="A250" s="58" t="s">
        <v>1219</v>
      </c>
      <c r="B250" s="58" t="s">
        <v>1220</v>
      </c>
      <c r="C250" s="11">
        <v>142.34</v>
      </c>
      <c r="D250" s="11">
        <v>141.63</v>
      </c>
      <c r="E250" s="11">
        <v>142.65</v>
      </c>
      <c r="F250" s="248">
        <v>36</v>
      </c>
      <c r="G250" s="12">
        <v>0</v>
      </c>
      <c r="H250" s="12">
        <v>0</v>
      </c>
      <c r="I250" s="12">
        <v>0</v>
      </c>
      <c r="J250" s="12">
        <v>0</v>
      </c>
      <c r="K250" s="12">
        <v>0</v>
      </c>
      <c r="L250" s="12">
        <v>0</v>
      </c>
      <c r="M250" s="13">
        <v>283.26</v>
      </c>
      <c r="N250" s="13">
        <v>141.63</v>
      </c>
      <c r="O250" s="13">
        <v>283.26</v>
      </c>
      <c r="P250" s="13">
        <v>0</v>
      </c>
      <c r="Q250" s="13">
        <v>285.3</v>
      </c>
      <c r="R250" s="13">
        <v>713.25</v>
      </c>
      <c r="S250" s="12">
        <f>SUM(G250:R250)</f>
        <v>1706.7</v>
      </c>
      <c r="U250" s="13">
        <f t="shared" si="85"/>
        <v>0</v>
      </c>
      <c r="V250" s="13">
        <f t="shared" si="86"/>
        <v>0</v>
      </c>
      <c r="W250" s="13">
        <f t="shared" si="87"/>
        <v>0</v>
      </c>
      <c r="X250" s="13">
        <f t="shared" si="106"/>
        <v>0</v>
      </c>
      <c r="Y250" s="13">
        <f t="shared" si="106"/>
        <v>0</v>
      </c>
      <c r="Z250" s="13">
        <f t="shared" si="106"/>
        <v>0</v>
      </c>
      <c r="AA250" s="13">
        <f t="shared" si="106"/>
        <v>2</v>
      </c>
      <c r="AB250" s="13">
        <f t="shared" si="106"/>
        <v>1</v>
      </c>
      <c r="AC250" s="13">
        <f t="shared" si="94"/>
        <v>1.9856992639327022</v>
      </c>
      <c r="AD250" s="13">
        <f t="shared" si="89"/>
        <v>0</v>
      </c>
      <c r="AE250" s="13">
        <f t="shared" si="90"/>
        <v>2</v>
      </c>
      <c r="AF250" s="13">
        <f t="shared" si="91"/>
        <v>5</v>
      </c>
      <c r="AG250" s="15">
        <f>IFERROR(AVERAGE(U250:AF250),0)</f>
        <v>0.99880827199439182</v>
      </c>
      <c r="AH250" s="15">
        <f>+SUM(U250:AF250)</f>
        <v>11.985699263932702</v>
      </c>
    </row>
    <row r="251" spans="1:41" ht="12.75" x14ac:dyDescent="0.2">
      <c r="A251" s="58" t="s">
        <v>336</v>
      </c>
      <c r="B251" s="58" t="s">
        <v>381</v>
      </c>
      <c r="C251" s="11">
        <v>10.24</v>
      </c>
      <c r="D251" s="11">
        <v>10.19</v>
      </c>
      <c r="E251" s="11">
        <v>10.19</v>
      </c>
      <c r="F251" s="248">
        <v>40</v>
      </c>
      <c r="G251" s="12">
        <v>1474.5600000000002</v>
      </c>
      <c r="H251" s="12">
        <v>1679.36</v>
      </c>
      <c r="I251" s="12">
        <v>1699.84</v>
      </c>
      <c r="J251" s="12">
        <v>1658.8799999999999</v>
      </c>
      <c r="K251" s="12">
        <v>2007.04</v>
      </c>
      <c r="L251" s="12">
        <v>1641.1399999999999</v>
      </c>
      <c r="M251" s="13">
        <v>1681.3500000000001</v>
      </c>
      <c r="N251" s="13">
        <v>1742.49</v>
      </c>
      <c r="O251" s="13">
        <v>1732.3</v>
      </c>
      <c r="P251" s="13">
        <v>1681.3500000000001</v>
      </c>
      <c r="Q251" s="13">
        <v>1711.92</v>
      </c>
      <c r="R251" s="13">
        <v>1650.7800000000002</v>
      </c>
      <c r="S251" s="12">
        <f t="shared" si="103"/>
        <v>20361.009999999995</v>
      </c>
      <c r="U251" s="13">
        <f t="shared" si="85"/>
        <v>144</v>
      </c>
      <c r="V251" s="13">
        <f t="shared" si="86"/>
        <v>164</v>
      </c>
      <c r="W251" s="13">
        <f t="shared" si="87"/>
        <v>166</v>
      </c>
      <c r="X251" s="13">
        <f t="shared" si="95"/>
        <v>162.79489695780177</v>
      </c>
      <c r="Y251" s="13">
        <f t="shared" si="96"/>
        <v>196.96172718351326</v>
      </c>
      <c r="Z251" s="13">
        <f t="shared" si="97"/>
        <v>161.05397448478899</v>
      </c>
      <c r="AA251" s="13">
        <f t="shared" si="98"/>
        <v>165.00000000000003</v>
      </c>
      <c r="AB251" s="13">
        <f t="shared" si="99"/>
        <v>171</v>
      </c>
      <c r="AC251" s="13">
        <f t="shared" si="94"/>
        <v>170</v>
      </c>
      <c r="AD251" s="13">
        <f t="shared" si="89"/>
        <v>165.00000000000003</v>
      </c>
      <c r="AE251" s="13">
        <f t="shared" si="90"/>
        <v>168.00000000000003</v>
      </c>
      <c r="AF251" s="13">
        <f t="shared" si="91"/>
        <v>162.00000000000003</v>
      </c>
      <c r="AG251" s="15">
        <f t="shared" si="104"/>
        <v>166.31754988550867</v>
      </c>
      <c r="AH251" s="15">
        <f t="shared" si="101"/>
        <v>1995.8105986261041</v>
      </c>
    </row>
    <row r="252" spans="1:41" ht="12.75" x14ac:dyDescent="0.2">
      <c r="A252" s="58" t="s">
        <v>337</v>
      </c>
      <c r="B252" s="58" t="s">
        <v>382</v>
      </c>
      <c r="C252" s="11">
        <v>65.34</v>
      </c>
      <c r="D252" s="11">
        <v>65.010000000000005</v>
      </c>
      <c r="E252" s="11">
        <v>65.010000000000005</v>
      </c>
      <c r="F252" s="248">
        <v>40</v>
      </c>
      <c r="G252" s="12">
        <v>7644.7800000000007</v>
      </c>
      <c r="H252" s="12">
        <v>14244.119999999999</v>
      </c>
      <c r="I252" s="12">
        <v>14309.46</v>
      </c>
      <c r="J252" s="12">
        <v>13721.400000000001</v>
      </c>
      <c r="K252" s="12">
        <v>11369.16</v>
      </c>
      <c r="L252" s="12">
        <v>11638.44</v>
      </c>
      <c r="M252" s="13">
        <v>8386.2900000000009</v>
      </c>
      <c r="N252" s="13">
        <v>5720.88</v>
      </c>
      <c r="O252" s="13">
        <v>6110.9400000000005</v>
      </c>
      <c r="P252" s="13">
        <v>6045.9300000000012</v>
      </c>
      <c r="Q252" s="13">
        <v>8061.2400000000007</v>
      </c>
      <c r="R252" s="13">
        <v>8061.5700000000006</v>
      </c>
      <c r="S252" s="12">
        <f t="shared" si="103"/>
        <v>115314.21000000002</v>
      </c>
      <c r="U252" s="13">
        <f t="shared" si="85"/>
        <v>117</v>
      </c>
      <c r="V252" s="13">
        <f t="shared" si="86"/>
        <v>217.99999999999997</v>
      </c>
      <c r="W252" s="13">
        <f t="shared" si="87"/>
        <v>218.99999999999997</v>
      </c>
      <c r="X252" s="13">
        <f t="shared" si="95"/>
        <v>211.06598984771574</v>
      </c>
      <c r="Y252" s="13">
        <f t="shared" si="96"/>
        <v>174.88324873096445</v>
      </c>
      <c r="Z252" s="13">
        <f t="shared" si="97"/>
        <v>179.0253807106599</v>
      </c>
      <c r="AA252" s="13">
        <f t="shared" si="98"/>
        <v>129</v>
      </c>
      <c r="AB252" s="13">
        <f t="shared" si="99"/>
        <v>88</v>
      </c>
      <c r="AC252" s="13">
        <f t="shared" si="94"/>
        <v>94</v>
      </c>
      <c r="AD252" s="13">
        <f t="shared" si="89"/>
        <v>93.000000000000014</v>
      </c>
      <c r="AE252" s="13">
        <f t="shared" si="90"/>
        <v>124</v>
      </c>
      <c r="AF252" s="13">
        <f t="shared" si="91"/>
        <v>124.00507614213198</v>
      </c>
      <c r="AG252" s="15">
        <f t="shared" si="104"/>
        <v>147.58164128595601</v>
      </c>
      <c r="AH252" s="15">
        <f t="shared" si="101"/>
        <v>1770.979695431472</v>
      </c>
    </row>
    <row r="253" spans="1:41" ht="12.75" x14ac:dyDescent="0.2">
      <c r="A253" s="58" t="s">
        <v>338</v>
      </c>
      <c r="B253" s="58" t="s">
        <v>383</v>
      </c>
      <c r="C253" s="11">
        <v>38.369999999999997</v>
      </c>
      <c r="D253" s="11">
        <v>38.18</v>
      </c>
      <c r="E253" s="11">
        <v>38.18</v>
      </c>
      <c r="F253" s="248">
        <v>40</v>
      </c>
      <c r="G253" s="12">
        <v>1443.9699999999998</v>
      </c>
      <c r="H253" s="12">
        <v>1433.7399999999998</v>
      </c>
      <c r="I253" s="12">
        <v>1420.9599999999998</v>
      </c>
      <c r="J253" s="12">
        <v>1472.12</v>
      </c>
      <c r="K253" s="12">
        <v>1553.9599999999998</v>
      </c>
      <c r="L253" s="12">
        <v>911.46</v>
      </c>
      <c r="M253" s="13">
        <v>1615.02</v>
      </c>
      <c r="N253" s="13">
        <v>1506.84</v>
      </c>
      <c r="O253" s="13">
        <v>1412.6599999999999</v>
      </c>
      <c r="P253" s="13">
        <v>1494.1099999999997</v>
      </c>
      <c r="Q253" s="13">
        <v>1608.6499999999999</v>
      </c>
      <c r="R253" s="13">
        <v>1653.1999999999998</v>
      </c>
      <c r="S253" s="12">
        <f t="shared" si="103"/>
        <v>17526.689999999999</v>
      </c>
      <c r="U253" s="13">
        <f t="shared" si="85"/>
        <v>37.632786030753188</v>
      </c>
      <c r="V253" s="13">
        <f t="shared" si="86"/>
        <v>37.366171488141774</v>
      </c>
      <c r="W253" s="13">
        <f t="shared" si="87"/>
        <v>37.033098775084696</v>
      </c>
      <c r="X253" s="13">
        <f t="shared" si="95"/>
        <v>38.557359874279726</v>
      </c>
      <c r="Y253" s="13">
        <f t="shared" si="96"/>
        <v>40.700890518596118</v>
      </c>
      <c r="Z253" s="13">
        <f t="shared" si="97"/>
        <v>23.872708224201155</v>
      </c>
      <c r="AA253" s="13">
        <f t="shared" si="98"/>
        <v>42.300157150340489</v>
      </c>
      <c r="AB253" s="13">
        <f t="shared" si="99"/>
        <v>39.46673651126244</v>
      </c>
      <c r="AC253" s="13">
        <f t="shared" si="94"/>
        <v>37</v>
      </c>
      <c r="AD253" s="13">
        <f t="shared" si="89"/>
        <v>39.133315872184383</v>
      </c>
      <c r="AE253" s="13">
        <f t="shared" si="90"/>
        <v>42.133315872184383</v>
      </c>
      <c r="AF253" s="13">
        <f t="shared" si="91"/>
        <v>43.300157150340489</v>
      </c>
      <c r="AG253" s="15">
        <f t="shared" si="104"/>
        <v>38.208058122280733</v>
      </c>
      <c r="AH253" s="15">
        <f t="shared" si="101"/>
        <v>458.49669746736879</v>
      </c>
    </row>
    <row r="254" spans="1:41" ht="12.75" x14ac:dyDescent="0.2">
      <c r="A254" s="58" t="s">
        <v>339</v>
      </c>
      <c r="B254" s="58" t="s">
        <v>384</v>
      </c>
      <c r="C254" s="11">
        <v>38.369999999999997</v>
      </c>
      <c r="D254" s="11">
        <v>38.18</v>
      </c>
      <c r="E254" s="11">
        <v>38.18</v>
      </c>
      <c r="F254" s="248">
        <v>40</v>
      </c>
      <c r="G254" s="12">
        <v>1153.5999999999999</v>
      </c>
      <c r="H254" s="12">
        <v>1212.48</v>
      </c>
      <c r="I254" s="12">
        <v>1191.96</v>
      </c>
      <c r="J254" s="12">
        <v>1307.0900000000001</v>
      </c>
      <c r="K254" s="12">
        <v>1126.76</v>
      </c>
      <c r="L254" s="12">
        <v>1239.75</v>
      </c>
      <c r="M254" s="13">
        <v>1316.11</v>
      </c>
      <c r="N254" s="13">
        <v>1179.75</v>
      </c>
      <c r="O254" s="13">
        <v>1136.5</v>
      </c>
      <c r="P254" s="13">
        <v>1121.22</v>
      </c>
      <c r="Q254" s="13">
        <v>1049.97</v>
      </c>
      <c r="R254" s="13">
        <v>1116.1200000000001</v>
      </c>
      <c r="S254" s="12">
        <f t="shared" si="103"/>
        <v>14151.31</v>
      </c>
      <c r="U254" s="13">
        <f t="shared" si="85"/>
        <v>30.065155069064375</v>
      </c>
      <c r="V254" s="13">
        <f t="shared" si="86"/>
        <v>31.599687255668492</v>
      </c>
      <c r="W254" s="13">
        <f t="shared" si="87"/>
        <v>31.06489444878812</v>
      </c>
      <c r="X254" s="13">
        <f t="shared" si="95"/>
        <v>34.234939759036152</v>
      </c>
      <c r="Y254" s="13">
        <f t="shared" si="96"/>
        <v>29.511786275536931</v>
      </c>
      <c r="Z254" s="13">
        <f t="shared" si="97"/>
        <v>32.471189104243059</v>
      </c>
      <c r="AA254" s="13">
        <f t="shared" si="98"/>
        <v>34.471189104243059</v>
      </c>
      <c r="AB254" s="13">
        <f t="shared" si="99"/>
        <v>30.899685699319015</v>
      </c>
      <c r="AC254" s="13">
        <f t="shared" si="94"/>
        <v>29.766893661602932</v>
      </c>
      <c r="AD254" s="13">
        <f t="shared" si="89"/>
        <v>29.36668412781561</v>
      </c>
      <c r="AE254" s="13">
        <f t="shared" si="90"/>
        <v>27.500523834468307</v>
      </c>
      <c r="AF254" s="13">
        <f t="shared" si="91"/>
        <v>29.233106338397072</v>
      </c>
      <c r="AG254" s="15">
        <f t="shared" si="104"/>
        <v>30.848811223181926</v>
      </c>
      <c r="AH254" s="15">
        <f t="shared" si="101"/>
        <v>370.18573467818311</v>
      </c>
    </row>
    <row r="255" spans="1:41" ht="12.75" x14ac:dyDescent="0.2">
      <c r="A255" s="58" t="s">
        <v>340</v>
      </c>
      <c r="B255" s="58" t="s">
        <v>385</v>
      </c>
      <c r="C255" s="11">
        <v>2.56</v>
      </c>
      <c r="D255" s="11">
        <v>2.5499999999999998</v>
      </c>
      <c r="E255" s="11">
        <v>2.5499999999999998</v>
      </c>
      <c r="F255" s="248">
        <v>36</v>
      </c>
      <c r="G255" s="12">
        <v>2625.21</v>
      </c>
      <c r="H255" s="12">
        <v>3376.5799999999995</v>
      </c>
      <c r="I255" s="12">
        <v>3243.3</v>
      </c>
      <c r="J255" s="12">
        <v>3397.2999999999997</v>
      </c>
      <c r="K255" s="12">
        <v>3226.65</v>
      </c>
      <c r="L255" s="12">
        <v>3070.99</v>
      </c>
      <c r="M255" s="13">
        <v>2465.7600000000002</v>
      </c>
      <c r="N255" s="13">
        <v>2703.3900000000003</v>
      </c>
      <c r="O255" s="13">
        <v>1760.2299999999998</v>
      </c>
      <c r="P255" s="13">
        <v>1359.14</v>
      </c>
      <c r="Q255" s="13">
        <v>1747.81</v>
      </c>
      <c r="R255" s="13">
        <v>2084.9500000000003</v>
      </c>
      <c r="S255" s="12">
        <f t="shared" si="103"/>
        <v>31061.31</v>
      </c>
      <c r="U255" s="13">
        <f t="shared" si="85"/>
        <v>1025.47265625</v>
      </c>
      <c r="V255" s="13">
        <f t="shared" si="86"/>
        <v>1318.9765624999998</v>
      </c>
      <c r="W255" s="13">
        <f t="shared" si="87"/>
        <v>1266.9140625</v>
      </c>
      <c r="X255" s="13">
        <f t="shared" si="95"/>
        <v>1332.2745098039215</v>
      </c>
      <c r="Y255" s="13">
        <f t="shared" si="96"/>
        <v>1265.3529411764707</v>
      </c>
      <c r="Z255" s="13">
        <f t="shared" si="97"/>
        <v>1204.3098039215686</v>
      </c>
      <c r="AA255" s="13">
        <f t="shared" si="98"/>
        <v>966.96470588235309</v>
      </c>
      <c r="AB255" s="13">
        <f t="shared" si="99"/>
        <v>1060.1529411764709</v>
      </c>
      <c r="AC255" s="13">
        <f t="shared" si="94"/>
        <v>690.28627450980389</v>
      </c>
      <c r="AD255" s="13">
        <f t="shared" si="89"/>
        <v>532.99607843137267</v>
      </c>
      <c r="AE255" s="13">
        <f t="shared" si="90"/>
        <v>685.41568627450988</v>
      </c>
      <c r="AF255" s="13">
        <f t="shared" si="91"/>
        <v>817.62745098039227</v>
      </c>
      <c r="AG255" s="15">
        <f t="shared" si="104"/>
        <v>1013.8953061172386</v>
      </c>
      <c r="AH255" s="15">
        <f t="shared" si="101"/>
        <v>12166.743673406863</v>
      </c>
    </row>
    <row r="256" spans="1:41" ht="12.75" x14ac:dyDescent="0.2">
      <c r="A256" s="58" t="s">
        <v>341</v>
      </c>
      <c r="B256" s="58" t="s">
        <v>386</v>
      </c>
      <c r="C256" s="11">
        <v>10.59</v>
      </c>
      <c r="D256" s="11">
        <v>10.54</v>
      </c>
      <c r="E256" s="11">
        <v>10.54</v>
      </c>
      <c r="F256" s="248">
        <v>40</v>
      </c>
      <c r="G256" s="12">
        <v>3971.2499999999995</v>
      </c>
      <c r="H256" s="12">
        <v>6057.4800000000005</v>
      </c>
      <c r="I256" s="12">
        <v>6745.83</v>
      </c>
      <c r="J256" s="12">
        <v>5930.4</v>
      </c>
      <c r="K256" s="12">
        <v>6121.0199999999995</v>
      </c>
      <c r="L256" s="12">
        <v>5639.6500000000005</v>
      </c>
      <c r="M256" s="13">
        <v>4837.8599999999997</v>
      </c>
      <c r="N256" s="13">
        <v>5206.7599999999993</v>
      </c>
      <c r="O256" s="13">
        <v>4205.46</v>
      </c>
      <c r="P256" s="13">
        <v>3414.9599999999996</v>
      </c>
      <c r="Q256" s="13">
        <v>4331.9399999999996</v>
      </c>
      <c r="R256" s="13">
        <v>4964.34</v>
      </c>
      <c r="S256" s="12">
        <f t="shared" si="103"/>
        <v>61426.95</v>
      </c>
      <c r="U256" s="13">
        <f t="shared" si="85"/>
        <v>374.99999999999994</v>
      </c>
      <c r="V256" s="13">
        <f t="shared" si="86"/>
        <v>572</v>
      </c>
      <c r="W256" s="13">
        <f t="shared" si="87"/>
        <v>637</v>
      </c>
      <c r="X256" s="13">
        <f t="shared" si="95"/>
        <v>562.65654648956354</v>
      </c>
      <c r="Y256" s="13">
        <f t="shared" si="96"/>
        <v>580.74193548387098</v>
      </c>
      <c r="Z256" s="13">
        <f t="shared" si="97"/>
        <v>535.07115749525622</v>
      </c>
      <c r="AA256" s="13">
        <f t="shared" si="98"/>
        <v>459</v>
      </c>
      <c r="AB256" s="13">
        <f t="shared" si="99"/>
        <v>494</v>
      </c>
      <c r="AC256" s="13">
        <f t="shared" si="94"/>
        <v>399.00000000000006</v>
      </c>
      <c r="AD256" s="13">
        <f t="shared" si="89"/>
        <v>324</v>
      </c>
      <c r="AE256" s="13">
        <f t="shared" si="90"/>
        <v>411</v>
      </c>
      <c r="AF256" s="13">
        <f t="shared" si="91"/>
        <v>471.00000000000006</v>
      </c>
      <c r="AG256" s="15">
        <f t="shared" si="104"/>
        <v>485.03913662239091</v>
      </c>
      <c r="AH256" s="15">
        <f t="shared" si="101"/>
        <v>5820.4696394686907</v>
      </c>
    </row>
    <row r="257" spans="1:41" ht="12.75" x14ac:dyDescent="0.2">
      <c r="A257" s="58" t="s">
        <v>342</v>
      </c>
      <c r="B257" s="58" t="s">
        <v>387</v>
      </c>
      <c r="C257" s="11">
        <v>1.81</v>
      </c>
      <c r="D257" s="11">
        <v>1.8</v>
      </c>
      <c r="E257" s="11">
        <v>1.8</v>
      </c>
      <c r="F257" s="248">
        <v>29</v>
      </c>
      <c r="G257" s="12">
        <v>831.59999999999991</v>
      </c>
      <c r="H257" s="12">
        <v>678.75</v>
      </c>
      <c r="I257" s="12">
        <v>416.3</v>
      </c>
      <c r="J257" s="12">
        <v>271.5</v>
      </c>
      <c r="K257" s="12">
        <v>368.4</v>
      </c>
      <c r="L257" s="12">
        <v>189.15</v>
      </c>
      <c r="M257" s="13">
        <v>180</v>
      </c>
      <c r="N257" s="13">
        <v>414</v>
      </c>
      <c r="O257" s="13">
        <v>270</v>
      </c>
      <c r="P257" s="13">
        <v>72</v>
      </c>
      <c r="Q257" s="13">
        <v>378</v>
      </c>
      <c r="R257" s="13">
        <v>261</v>
      </c>
      <c r="S257" s="12">
        <f t="shared" si="103"/>
        <v>4330.7</v>
      </c>
      <c r="U257" s="13">
        <f t="shared" si="85"/>
        <v>459.44751381215463</v>
      </c>
      <c r="V257" s="13">
        <f t="shared" si="86"/>
        <v>375</v>
      </c>
      <c r="W257" s="13">
        <f t="shared" si="87"/>
        <v>230</v>
      </c>
      <c r="X257" s="13">
        <f t="shared" si="95"/>
        <v>150.83333333333334</v>
      </c>
      <c r="Y257" s="13">
        <f t="shared" si="96"/>
        <v>204.66666666666666</v>
      </c>
      <c r="Z257" s="13">
        <f t="shared" si="97"/>
        <v>105.08333333333333</v>
      </c>
      <c r="AA257" s="13">
        <f t="shared" si="98"/>
        <v>100</v>
      </c>
      <c r="AB257" s="13">
        <f t="shared" si="99"/>
        <v>230</v>
      </c>
      <c r="AC257" s="13">
        <f t="shared" si="94"/>
        <v>150</v>
      </c>
      <c r="AD257" s="13">
        <f t="shared" si="89"/>
        <v>40</v>
      </c>
      <c r="AE257" s="13">
        <f t="shared" si="90"/>
        <v>210</v>
      </c>
      <c r="AF257" s="13">
        <f t="shared" si="91"/>
        <v>145</v>
      </c>
      <c r="AG257" s="15">
        <f t="shared" si="104"/>
        <v>200.00257059545734</v>
      </c>
      <c r="AH257" s="15">
        <f t="shared" si="101"/>
        <v>2400.0308471454882</v>
      </c>
    </row>
    <row r="258" spans="1:41" ht="12.75" x14ac:dyDescent="0.2">
      <c r="A258" s="58" t="s">
        <v>909</v>
      </c>
      <c r="B258" s="58" t="s">
        <v>382</v>
      </c>
      <c r="C258" s="11">
        <v>65.34</v>
      </c>
      <c r="D258" s="11">
        <v>65.010000000000005</v>
      </c>
      <c r="E258" s="11">
        <v>65.010000000000005</v>
      </c>
      <c r="F258" s="248">
        <v>40</v>
      </c>
      <c r="G258" s="12">
        <v>0</v>
      </c>
      <c r="H258" s="12">
        <v>0</v>
      </c>
      <c r="I258" s="12">
        <v>0</v>
      </c>
      <c r="J258" s="12">
        <v>0</v>
      </c>
      <c r="K258" s="12">
        <v>0</v>
      </c>
      <c r="L258" s="12">
        <v>0</v>
      </c>
      <c r="M258" s="13">
        <v>0</v>
      </c>
      <c r="N258" s="13">
        <v>0</v>
      </c>
      <c r="O258" s="13">
        <v>0</v>
      </c>
      <c r="P258" s="13">
        <v>0</v>
      </c>
      <c r="Q258" s="13">
        <v>-43.82</v>
      </c>
      <c r="R258" s="13">
        <v>21.190000000000005</v>
      </c>
      <c r="S258" s="12">
        <f t="shared" si="103"/>
        <v>-22.629999999999995</v>
      </c>
      <c r="U258" s="13">
        <f t="shared" si="85"/>
        <v>0</v>
      </c>
      <c r="V258" s="13">
        <f t="shared" si="86"/>
        <v>0</v>
      </c>
      <c r="W258" s="13">
        <f t="shared" si="87"/>
        <v>0</v>
      </c>
      <c r="X258" s="13">
        <f t="shared" si="95"/>
        <v>0</v>
      </c>
      <c r="Y258" s="13">
        <f t="shared" si="96"/>
        <v>0</v>
      </c>
      <c r="Z258" s="13">
        <f t="shared" si="97"/>
        <v>0</v>
      </c>
      <c r="AA258" s="13">
        <f t="shared" si="98"/>
        <v>0</v>
      </c>
      <c r="AB258" s="13">
        <f t="shared" si="99"/>
        <v>0</v>
      </c>
      <c r="AC258" s="13">
        <f t="shared" si="94"/>
        <v>0</v>
      </c>
      <c r="AD258" s="13">
        <f t="shared" si="89"/>
        <v>0</v>
      </c>
      <c r="AE258" s="13">
        <f t="shared" si="90"/>
        <v>-0.67405014613136438</v>
      </c>
      <c r="AF258" s="13">
        <f t="shared" si="91"/>
        <v>0.32594985386863562</v>
      </c>
      <c r="AG258" s="15">
        <f t="shared" si="104"/>
        <v>-2.9008357688560731E-2</v>
      </c>
      <c r="AH258" s="15">
        <f t="shared" si="101"/>
        <v>-0.34810029226272876</v>
      </c>
    </row>
    <row r="259" spans="1:41" ht="12.75" x14ac:dyDescent="0.2">
      <c r="A259" s="58" t="s">
        <v>179</v>
      </c>
      <c r="B259" s="58" t="s">
        <v>275</v>
      </c>
      <c r="C259" s="11">
        <v>63.04</v>
      </c>
      <c r="D259" s="11">
        <v>62.72</v>
      </c>
      <c r="E259" s="11">
        <v>62.72</v>
      </c>
      <c r="F259" s="248">
        <v>36</v>
      </c>
      <c r="G259" s="12">
        <v>0</v>
      </c>
      <c r="H259" s="12">
        <v>0</v>
      </c>
      <c r="I259" s="12">
        <v>0</v>
      </c>
      <c r="J259" s="12">
        <v>0</v>
      </c>
      <c r="K259" s="12">
        <v>0</v>
      </c>
      <c r="L259" s="12">
        <v>501.76</v>
      </c>
      <c r="M259" s="13">
        <v>501.76</v>
      </c>
      <c r="N259" s="13">
        <v>564.48</v>
      </c>
      <c r="O259" s="13">
        <v>313.60000000000002</v>
      </c>
      <c r="P259" s="13">
        <v>250.88</v>
      </c>
      <c r="Q259" s="13">
        <v>689.92000000000007</v>
      </c>
      <c r="R259" s="13">
        <v>250.88</v>
      </c>
      <c r="S259" s="12">
        <f>SUM(G259:R259)</f>
        <v>3073.28</v>
      </c>
      <c r="U259" s="13">
        <f t="shared" si="85"/>
        <v>0</v>
      </c>
      <c r="V259" s="13">
        <f t="shared" si="86"/>
        <v>0</v>
      </c>
      <c r="W259" s="13">
        <f t="shared" si="87"/>
        <v>0</v>
      </c>
      <c r="X259" s="13">
        <f>J259/$D259</f>
        <v>0</v>
      </c>
      <c r="Y259" s="13">
        <f>K259/$D259</f>
        <v>0</v>
      </c>
      <c r="Z259" s="13">
        <f>L259/$D259</f>
        <v>8</v>
      </c>
      <c r="AA259" s="13">
        <f>M259/$D259</f>
        <v>8</v>
      </c>
      <c r="AB259" s="13">
        <f>N259/$D259</f>
        <v>9</v>
      </c>
      <c r="AC259" s="13">
        <f>IFERROR(O259/$E259,0)</f>
        <v>5.0000000000000009</v>
      </c>
      <c r="AD259" s="13">
        <f t="shared" si="89"/>
        <v>4</v>
      </c>
      <c r="AE259" s="13">
        <f t="shared" si="90"/>
        <v>11.000000000000002</v>
      </c>
      <c r="AF259" s="13">
        <f t="shared" si="91"/>
        <v>4</v>
      </c>
      <c r="AG259" s="15">
        <f>IFERROR(AVERAGE(U259:AF259),0)</f>
        <v>4.083333333333333</v>
      </c>
      <c r="AH259" s="15">
        <f>SUM(U259:AF259)</f>
        <v>49</v>
      </c>
      <c r="AI259" s="25"/>
    </row>
    <row r="260" spans="1:41" ht="12.75" x14ac:dyDescent="0.2">
      <c r="A260" s="58" t="s">
        <v>987</v>
      </c>
      <c r="B260" s="58" t="s">
        <v>995</v>
      </c>
      <c r="D260" s="11">
        <v>70.45</v>
      </c>
      <c r="E260" s="11">
        <v>70.45</v>
      </c>
      <c r="F260" s="248">
        <v>40</v>
      </c>
      <c r="G260" s="12">
        <v>0</v>
      </c>
      <c r="H260" s="12">
        <v>0</v>
      </c>
      <c r="I260" s="12">
        <v>40.119999999999997</v>
      </c>
      <c r="J260" s="12">
        <v>0</v>
      </c>
      <c r="K260" s="12">
        <v>0</v>
      </c>
      <c r="L260" s="12">
        <v>0</v>
      </c>
      <c r="M260" s="13">
        <v>0</v>
      </c>
      <c r="N260" s="13">
        <v>0</v>
      </c>
      <c r="O260" s="13">
        <v>0</v>
      </c>
      <c r="P260" s="13">
        <v>0</v>
      </c>
      <c r="Q260" s="13">
        <v>0</v>
      </c>
      <c r="R260" s="13">
        <v>0</v>
      </c>
      <c r="S260" s="12">
        <f>SUM(G260:R260)</f>
        <v>40.119999999999997</v>
      </c>
      <c r="U260" s="13">
        <f t="shared" si="85"/>
        <v>0</v>
      </c>
      <c r="V260" s="13">
        <f t="shared" si="86"/>
        <v>0</v>
      </c>
      <c r="W260" s="13">
        <f t="shared" si="87"/>
        <v>0</v>
      </c>
      <c r="X260" s="13">
        <f>IFERROR(J260/$D260,0)</f>
        <v>0</v>
      </c>
      <c r="Y260" s="13">
        <f>IFERROR(K260/$D260,0)</f>
        <v>0</v>
      </c>
      <c r="Z260" s="13">
        <f>IFERROR(L260/$D260,0)</f>
        <v>0</v>
      </c>
      <c r="AA260" s="13">
        <f>IFERROR(M260/$D260,0)</f>
        <v>0</v>
      </c>
      <c r="AB260" s="13">
        <f>IFERROR(N260/$D260,0)</f>
        <v>0</v>
      </c>
      <c r="AC260" s="13">
        <f t="shared" si="94"/>
        <v>0</v>
      </c>
      <c r="AD260" s="13">
        <f t="shared" si="89"/>
        <v>0</v>
      </c>
      <c r="AE260" s="13">
        <f t="shared" si="90"/>
        <v>0</v>
      </c>
      <c r="AF260" s="13">
        <f t="shared" si="91"/>
        <v>0</v>
      </c>
      <c r="AG260" s="15">
        <f>IFERROR(AVERAGE(U260:AF260),0)</f>
        <v>0</v>
      </c>
      <c r="AH260" s="15">
        <f>+SUM(U260:AF260)</f>
        <v>0</v>
      </c>
    </row>
    <row r="261" spans="1:41" ht="12.75" x14ac:dyDescent="0.2">
      <c r="A261" s="58" t="s">
        <v>343</v>
      </c>
      <c r="B261" s="58" t="s">
        <v>388</v>
      </c>
      <c r="C261" s="11">
        <v>108.58</v>
      </c>
      <c r="D261" s="11">
        <v>108.04</v>
      </c>
      <c r="E261" s="11">
        <v>108.04</v>
      </c>
      <c r="F261" s="248">
        <v>29</v>
      </c>
      <c r="G261" s="12">
        <v>597.19000000000005</v>
      </c>
      <c r="H261" s="12">
        <v>190.02</v>
      </c>
      <c r="I261" s="12">
        <v>922.93</v>
      </c>
      <c r="J261" s="12">
        <v>271.45</v>
      </c>
      <c r="K261" s="12">
        <v>434.33</v>
      </c>
      <c r="L261" s="12">
        <v>0</v>
      </c>
      <c r="M261" s="13">
        <v>0</v>
      </c>
      <c r="N261" s="13">
        <v>576.08000000000004</v>
      </c>
      <c r="O261" s="13">
        <v>675.15000000000009</v>
      </c>
      <c r="P261" s="13">
        <v>0</v>
      </c>
      <c r="Q261" s="13">
        <v>0</v>
      </c>
      <c r="R261" s="13">
        <v>270.10000000000002</v>
      </c>
      <c r="S261" s="12">
        <f t="shared" si="103"/>
        <v>3937.25</v>
      </c>
      <c r="U261" s="13">
        <f t="shared" si="85"/>
        <v>5.5000000000000009</v>
      </c>
      <c r="V261" s="13">
        <f t="shared" si="86"/>
        <v>1.750046048996132</v>
      </c>
      <c r="W261" s="13">
        <f t="shared" si="87"/>
        <v>8.5</v>
      </c>
      <c r="X261" s="13">
        <f t="shared" si="95"/>
        <v>2.512495372084413</v>
      </c>
      <c r="Y261" s="13">
        <f t="shared" si="96"/>
        <v>4.0200851536467974</v>
      </c>
      <c r="Z261" s="13">
        <f t="shared" si="97"/>
        <v>0</v>
      </c>
      <c r="AA261" s="13">
        <f t="shared" si="98"/>
        <v>0</v>
      </c>
      <c r="AB261" s="13">
        <f t="shared" si="99"/>
        <v>5.3320992225101813</v>
      </c>
      <c r="AC261" s="13">
        <f t="shared" si="94"/>
        <v>6.2490744168826362</v>
      </c>
      <c r="AD261" s="13">
        <f t="shared" si="89"/>
        <v>0</v>
      </c>
      <c r="AE261" s="13">
        <f t="shared" si="90"/>
        <v>0</v>
      </c>
      <c r="AF261" s="13">
        <f t="shared" si="91"/>
        <v>2.5</v>
      </c>
      <c r="AG261" s="15">
        <f t="shared" si="104"/>
        <v>3.0303166845100136</v>
      </c>
      <c r="AH261" s="15">
        <f t="shared" si="101"/>
        <v>36.363800214120161</v>
      </c>
    </row>
    <row r="262" spans="1:41" ht="12.75" x14ac:dyDescent="0.2">
      <c r="A262" s="58" t="s">
        <v>344</v>
      </c>
      <c r="B262" s="58" t="s">
        <v>389</v>
      </c>
      <c r="C262" s="11">
        <v>76.760000000000005</v>
      </c>
      <c r="D262" s="11">
        <v>76.37</v>
      </c>
      <c r="E262" s="11">
        <v>76.37</v>
      </c>
      <c r="F262" s="11"/>
      <c r="G262" s="12">
        <v>5838.84</v>
      </c>
      <c r="H262" s="12">
        <v>5285.02</v>
      </c>
      <c r="I262" s="12">
        <v>6313.98</v>
      </c>
      <c r="J262" s="12">
        <v>6939.48</v>
      </c>
      <c r="K262" s="12">
        <v>7146.92</v>
      </c>
      <c r="L262" s="12">
        <v>7407.8899999999994</v>
      </c>
      <c r="M262" s="13">
        <v>5540.54</v>
      </c>
      <c r="N262" s="13">
        <v>4876.26</v>
      </c>
      <c r="O262" s="13">
        <v>6646.24</v>
      </c>
      <c r="P262" s="13">
        <v>4964.05</v>
      </c>
      <c r="Q262" s="13">
        <v>5880.49</v>
      </c>
      <c r="R262" s="13">
        <v>3665.76</v>
      </c>
      <c r="S262" s="12">
        <f>SUM(G262:R262)</f>
        <v>70505.47</v>
      </c>
      <c r="U262" s="13">
        <f t="shared" si="85"/>
        <v>76.066180302240753</v>
      </c>
      <c r="V262" s="13">
        <f t="shared" si="86"/>
        <v>68.851224596143823</v>
      </c>
      <c r="W262" s="13">
        <f t="shared" si="87"/>
        <v>82.256122980719113</v>
      </c>
      <c r="X262" s="13">
        <f>IFERROR(J262/$D262,0)</f>
        <v>90.866570642922596</v>
      </c>
      <c r="Y262" s="13">
        <f>IFERROR(K262/$D262,0)</f>
        <v>93.582820479245768</v>
      </c>
      <c r="Z262" s="13">
        <f>IFERROR(L262/$D262,0)</f>
        <v>96.999999999999986</v>
      </c>
      <c r="AA262" s="13">
        <f>IFERROR(M262/$D262,0)</f>
        <v>72.548644755794157</v>
      </c>
      <c r="AB262" s="13">
        <f>IFERROR(N262/$D262,0)</f>
        <v>63.85046484221553</v>
      </c>
      <c r="AC262" s="13">
        <f t="shared" si="94"/>
        <v>87.026843001178463</v>
      </c>
      <c r="AD262" s="13">
        <f t="shared" si="89"/>
        <v>65</v>
      </c>
      <c r="AE262" s="13">
        <f t="shared" si="90"/>
        <v>76.999999999999986</v>
      </c>
      <c r="AF262" s="13">
        <f t="shared" si="91"/>
        <v>48</v>
      </c>
      <c r="AG262" s="15">
        <f>IFERROR(AVERAGE(U262:AF262),0)</f>
        <v>76.83740596670502</v>
      </c>
      <c r="AH262" s="15">
        <f>+SUM(U262:AF262)</f>
        <v>922.04887160046019</v>
      </c>
    </row>
    <row r="263" spans="1:41" ht="12.75" x14ac:dyDescent="0.2">
      <c r="A263" s="58" t="s">
        <v>346</v>
      </c>
      <c r="B263" s="58" t="s">
        <v>391</v>
      </c>
      <c r="C263" s="11">
        <v>250.46</v>
      </c>
      <c r="D263" s="11">
        <v>249.17</v>
      </c>
      <c r="E263" s="11">
        <v>249.17</v>
      </c>
      <c r="F263" s="299">
        <v>0.51515151515151514</v>
      </c>
      <c r="G263" s="12">
        <v>0</v>
      </c>
      <c r="H263" s="12">
        <v>0</v>
      </c>
      <c r="I263" s="12">
        <v>0</v>
      </c>
      <c r="J263" s="12">
        <v>0</v>
      </c>
      <c r="K263" s="12">
        <v>0</v>
      </c>
      <c r="L263" s="12">
        <v>0</v>
      </c>
      <c r="M263" s="13">
        <v>0</v>
      </c>
      <c r="N263" s="13">
        <v>249.17</v>
      </c>
      <c r="O263" s="13">
        <v>0</v>
      </c>
      <c r="P263" s="13">
        <v>0</v>
      </c>
      <c r="Q263" s="13">
        <v>0</v>
      </c>
      <c r="R263" s="13">
        <v>0</v>
      </c>
      <c r="S263" s="12">
        <f t="shared" si="103"/>
        <v>249.17</v>
      </c>
      <c r="U263" s="13">
        <f t="shared" ref="U263:W264" si="107">IFERROR(G263/$C263,0)</f>
        <v>0</v>
      </c>
      <c r="V263" s="13">
        <f t="shared" si="107"/>
        <v>0</v>
      </c>
      <c r="W263" s="13">
        <f t="shared" si="107"/>
        <v>0</v>
      </c>
      <c r="X263" s="13">
        <f t="shared" si="95"/>
        <v>0</v>
      </c>
      <c r="Y263" s="13">
        <f t="shared" si="96"/>
        <v>0</v>
      </c>
      <c r="Z263" s="13">
        <f t="shared" si="97"/>
        <v>0</v>
      </c>
      <c r="AA263" s="13">
        <f t="shared" si="98"/>
        <v>0</v>
      </c>
      <c r="AB263" s="13">
        <f t="shared" si="99"/>
        <v>1</v>
      </c>
      <c r="AC263" s="13">
        <f t="shared" ref="AC263:AF264" si="108">IFERROR(O263/$E263,0)</f>
        <v>0</v>
      </c>
      <c r="AD263" s="13">
        <f t="shared" si="108"/>
        <v>0</v>
      </c>
      <c r="AE263" s="13">
        <f t="shared" si="108"/>
        <v>0</v>
      </c>
      <c r="AF263" s="13">
        <f t="shared" si="108"/>
        <v>0</v>
      </c>
      <c r="AG263" s="15">
        <f t="shared" si="104"/>
        <v>8.3333333333333329E-2</v>
      </c>
      <c r="AH263" s="15">
        <f t="shared" si="101"/>
        <v>1</v>
      </c>
    </row>
    <row r="264" spans="1:41" ht="12.75" x14ac:dyDescent="0.2">
      <c r="A264" s="58" t="s">
        <v>910</v>
      </c>
      <c r="B264" s="58" t="s">
        <v>383</v>
      </c>
      <c r="C264" s="11">
        <v>38.369999999999997</v>
      </c>
      <c r="D264" s="11">
        <v>38.18</v>
      </c>
      <c r="E264" s="11">
        <v>38.18</v>
      </c>
      <c r="F264" s="248">
        <v>40</v>
      </c>
      <c r="G264" s="12">
        <v>0</v>
      </c>
      <c r="H264" s="12">
        <v>0</v>
      </c>
      <c r="I264" s="12">
        <v>0</v>
      </c>
      <c r="J264" s="12">
        <v>21.72</v>
      </c>
      <c r="K264" s="12">
        <v>0</v>
      </c>
      <c r="L264" s="12">
        <v>0</v>
      </c>
      <c r="M264" s="13">
        <v>0</v>
      </c>
      <c r="N264" s="13">
        <v>0</v>
      </c>
      <c r="O264" s="13">
        <v>0</v>
      </c>
      <c r="P264" s="13">
        <v>0</v>
      </c>
      <c r="Q264" s="13">
        <v>0</v>
      </c>
      <c r="R264" s="13">
        <v>0</v>
      </c>
      <c r="S264" s="12">
        <f t="shared" si="103"/>
        <v>21.72</v>
      </c>
      <c r="U264" s="13">
        <f t="shared" si="107"/>
        <v>0</v>
      </c>
      <c r="V264" s="13">
        <f t="shared" si="107"/>
        <v>0</v>
      </c>
      <c r="W264" s="13">
        <f t="shared" si="107"/>
        <v>0</v>
      </c>
      <c r="X264" s="13">
        <f t="shared" si="95"/>
        <v>0.56888423258250387</v>
      </c>
      <c r="Y264" s="13">
        <f t="shared" si="96"/>
        <v>0</v>
      </c>
      <c r="Z264" s="13">
        <f t="shared" si="97"/>
        <v>0</v>
      </c>
      <c r="AA264" s="13">
        <f t="shared" si="98"/>
        <v>0</v>
      </c>
      <c r="AB264" s="13">
        <f t="shared" si="99"/>
        <v>0</v>
      </c>
      <c r="AC264" s="13">
        <f t="shared" si="108"/>
        <v>0</v>
      </c>
      <c r="AD264" s="13">
        <f t="shared" si="108"/>
        <v>0</v>
      </c>
      <c r="AE264" s="13">
        <f t="shared" si="108"/>
        <v>0</v>
      </c>
      <c r="AF264" s="13">
        <f t="shared" si="108"/>
        <v>0</v>
      </c>
      <c r="AG264" s="15">
        <f t="shared" si="104"/>
        <v>4.7407019381875325E-2</v>
      </c>
      <c r="AH264" s="15">
        <f t="shared" si="101"/>
        <v>0.56888423258250387</v>
      </c>
    </row>
    <row r="265" spans="1:41" x14ac:dyDescent="0.2">
      <c r="A265" s="10"/>
      <c r="B265" s="10"/>
      <c r="F265" s="11"/>
      <c r="G265" s="12"/>
      <c r="H265" s="13" t="str">
        <f>IF(F265="","",(#REF!/F265)+(#REF!/#REF!))</f>
        <v/>
      </c>
      <c r="I265" s="13" t="str">
        <f>IF(F265="","",H265/12)</f>
        <v/>
      </c>
      <c r="S265" s="12"/>
    </row>
    <row r="266" spans="1:41" x14ac:dyDescent="0.2">
      <c r="B266" s="17" t="s">
        <v>393</v>
      </c>
      <c r="F266" s="11"/>
      <c r="G266" s="244">
        <f t="shared" ref="G266:S266" si="109">SUM(G199:G265)</f>
        <v>135625.12</v>
      </c>
      <c r="H266" s="244">
        <f t="shared" si="109"/>
        <v>178329.22999999992</v>
      </c>
      <c r="I266" s="244">
        <f t="shared" si="109"/>
        <v>187581.13999999996</v>
      </c>
      <c r="J266" s="244">
        <f t="shared" si="109"/>
        <v>178733.75</v>
      </c>
      <c r="K266" s="244">
        <f t="shared" si="109"/>
        <v>185678.54</v>
      </c>
      <c r="L266" s="244">
        <f t="shared" si="109"/>
        <v>169423.3</v>
      </c>
      <c r="M266" s="244">
        <f t="shared" si="109"/>
        <v>156638.96</v>
      </c>
      <c r="N266" s="244">
        <f t="shared" si="109"/>
        <v>150319.33000000005</v>
      </c>
      <c r="O266" s="244">
        <f t="shared" si="109"/>
        <v>138164.44</v>
      </c>
      <c r="P266" s="244">
        <f t="shared" si="109"/>
        <v>123304.79000000002</v>
      </c>
      <c r="Q266" s="244">
        <f t="shared" si="109"/>
        <v>143129.64000000001</v>
      </c>
      <c r="R266" s="244">
        <f t="shared" si="109"/>
        <v>151143.36000000004</v>
      </c>
      <c r="S266" s="244">
        <f t="shared" si="109"/>
        <v>1898071.5999999996</v>
      </c>
      <c r="U266" s="180">
        <f t="shared" ref="U266:AH266" si="110">+SUM(U231:U245)</f>
        <v>382.17328061008334</v>
      </c>
      <c r="V266" s="180">
        <f t="shared" si="110"/>
        <v>406.81937579437931</v>
      </c>
      <c r="W266" s="180">
        <f t="shared" si="110"/>
        <v>421.3102669114532</v>
      </c>
      <c r="X266" s="180">
        <f t="shared" si="110"/>
        <v>452.9286018452803</v>
      </c>
      <c r="Y266" s="180">
        <f t="shared" si="110"/>
        <v>454.95372604684172</v>
      </c>
      <c r="Z266" s="180">
        <f t="shared" si="110"/>
        <v>444.17193823778945</v>
      </c>
      <c r="AA266" s="180">
        <f t="shared" si="110"/>
        <v>426.84269937520133</v>
      </c>
      <c r="AB266" s="180">
        <f t="shared" si="110"/>
        <v>397.16900241071966</v>
      </c>
      <c r="AC266" s="180">
        <f t="shared" si="110"/>
        <v>372.15832886710382</v>
      </c>
      <c r="AD266" s="180">
        <f t="shared" si="110"/>
        <v>370.76877217885021</v>
      </c>
      <c r="AE266" s="180">
        <f t="shared" si="110"/>
        <v>374.18138275719321</v>
      </c>
      <c r="AF266" s="180">
        <f t="shared" si="110"/>
        <v>401.89950492733379</v>
      </c>
      <c r="AG266" s="180">
        <f>+SUM(AG229:AG245)</f>
        <v>409.21752104452753</v>
      </c>
      <c r="AH266" s="180">
        <f t="shared" si="110"/>
        <v>4905.3768799622285</v>
      </c>
      <c r="AK266" s="211">
        <f>+SUM(AK199:AK265)</f>
        <v>0</v>
      </c>
      <c r="AM266" s="211">
        <f>+SUM(AM199:AM265)</f>
        <v>0</v>
      </c>
      <c r="AO266" s="211">
        <f>+SUM(AO199:AO265)</f>
        <v>409.21752104452753</v>
      </c>
    </row>
    <row r="267" spans="1:41" x14ac:dyDescent="0.2">
      <c r="F267" s="11"/>
      <c r="G267" s="12"/>
      <c r="H267" s="13"/>
      <c r="I267" s="13"/>
    </row>
    <row r="268" spans="1:41" x14ac:dyDescent="0.2">
      <c r="A268" s="59" t="s">
        <v>16</v>
      </c>
      <c r="B268" s="59" t="s">
        <v>16</v>
      </c>
      <c r="F268" s="11"/>
      <c r="G268" s="12"/>
      <c r="H268" s="13"/>
      <c r="I268" s="13"/>
    </row>
    <row r="269" spans="1:41" x14ac:dyDescent="0.2">
      <c r="A269" s="2"/>
      <c r="B269" s="2"/>
      <c r="F269" s="11"/>
      <c r="G269" s="12"/>
      <c r="H269" s="13"/>
      <c r="I269" s="13"/>
    </row>
    <row r="270" spans="1:41" ht="12.75" x14ac:dyDescent="0.2">
      <c r="A270" s="58" t="s">
        <v>394</v>
      </c>
      <c r="B270" s="1" t="s">
        <v>404</v>
      </c>
      <c r="C270" s="11">
        <v>88.72</v>
      </c>
      <c r="D270" s="11">
        <v>94.46</v>
      </c>
      <c r="E270" s="11">
        <v>99.43</v>
      </c>
      <c r="F270" s="248">
        <v>34</v>
      </c>
      <c r="G270" s="12">
        <v>209013.62</v>
      </c>
      <c r="H270" s="12">
        <v>280044.7</v>
      </c>
      <c r="I270" s="12">
        <v>294219.59999999998</v>
      </c>
      <c r="J270" s="12">
        <v>269450.02</v>
      </c>
      <c r="K270" s="12">
        <v>259583.62</v>
      </c>
      <c r="L270" s="12">
        <v>243806.09000000003</v>
      </c>
      <c r="M270" s="13">
        <v>236743.39</v>
      </c>
      <c r="N270" s="13">
        <v>240489.59000000003</v>
      </c>
      <c r="O270" s="13">
        <v>212749.66</v>
      </c>
      <c r="P270" s="13">
        <v>210111.83999999997</v>
      </c>
      <c r="Q270" s="13">
        <v>243366.72</v>
      </c>
      <c r="R270" s="13">
        <v>257312.91999999998</v>
      </c>
      <c r="S270" s="12">
        <f>SUM(G270:R270)</f>
        <v>2956891.77</v>
      </c>
    </row>
    <row r="271" spans="1:41" ht="12.75" x14ac:dyDescent="0.2">
      <c r="A271" s="58" t="s">
        <v>395</v>
      </c>
      <c r="B271" s="58" t="s">
        <v>405</v>
      </c>
      <c r="C271" s="11">
        <v>10</v>
      </c>
      <c r="D271" s="11">
        <v>10</v>
      </c>
      <c r="E271" s="11">
        <v>10</v>
      </c>
      <c r="F271" s="248">
        <v>34</v>
      </c>
      <c r="G271" s="12">
        <v>6440</v>
      </c>
      <c r="H271" s="12">
        <v>9080</v>
      </c>
      <c r="I271" s="12">
        <v>9552.5300000000007</v>
      </c>
      <c r="J271" s="12">
        <v>8780</v>
      </c>
      <c r="K271" s="12">
        <v>9485.7999999999993</v>
      </c>
      <c r="L271" s="12">
        <v>8310</v>
      </c>
      <c r="M271" s="13">
        <v>7750</v>
      </c>
      <c r="N271" s="13">
        <v>7630</v>
      </c>
      <c r="O271" s="13">
        <v>6862.53</v>
      </c>
      <c r="P271" s="13">
        <v>5950</v>
      </c>
      <c r="Q271" s="13">
        <v>7036.7</v>
      </c>
      <c r="R271" s="13">
        <v>7668</v>
      </c>
      <c r="S271" s="12">
        <f t="shared" ref="S271:S279" si="111">SUM(G271:R271)</f>
        <v>94545.56</v>
      </c>
    </row>
    <row r="272" spans="1:41" ht="12.75" x14ac:dyDescent="0.2">
      <c r="A272" s="58" t="s">
        <v>396</v>
      </c>
      <c r="B272" s="58" t="s">
        <v>406</v>
      </c>
      <c r="C272" s="11">
        <v>5.33</v>
      </c>
      <c r="D272" s="11">
        <v>5.33</v>
      </c>
      <c r="E272" s="11">
        <v>5.33</v>
      </c>
      <c r="F272" s="248">
        <v>34</v>
      </c>
      <c r="G272" s="12">
        <v>10.66</v>
      </c>
      <c r="H272" s="12">
        <v>47.97</v>
      </c>
      <c r="I272" s="12">
        <v>21.32</v>
      </c>
      <c r="J272" s="12">
        <v>21.32</v>
      </c>
      <c r="K272" s="12">
        <v>21.32</v>
      </c>
      <c r="L272" s="12">
        <v>37.31</v>
      </c>
      <c r="M272" s="13">
        <v>21.32</v>
      </c>
      <c r="N272" s="13">
        <v>15.99</v>
      </c>
      <c r="O272" s="13">
        <v>31.98</v>
      </c>
      <c r="P272" s="13">
        <v>44.17</v>
      </c>
      <c r="Q272" s="13">
        <v>97.100000000000009</v>
      </c>
      <c r="R272" s="13">
        <v>97.1</v>
      </c>
      <c r="S272" s="12">
        <f t="shared" si="111"/>
        <v>467.55999999999995</v>
      </c>
    </row>
    <row r="273" spans="1:19" ht="12.75" x14ac:dyDescent="0.2">
      <c r="A273" s="58" t="s">
        <v>397</v>
      </c>
      <c r="B273" s="58" t="s">
        <v>407</v>
      </c>
      <c r="C273" s="11">
        <v>20.57</v>
      </c>
      <c r="D273" s="11">
        <v>20.57</v>
      </c>
      <c r="E273" s="11">
        <v>20.57</v>
      </c>
      <c r="F273" s="248">
        <v>34</v>
      </c>
      <c r="G273" s="12">
        <v>370.26</v>
      </c>
      <c r="H273" s="12">
        <v>534.82000000000005</v>
      </c>
      <c r="I273" s="12">
        <v>843.37000000000012</v>
      </c>
      <c r="J273" s="12">
        <v>493.67999999999995</v>
      </c>
      <c r="K273" s="12">
        <v>905.07999999999993</v>
      </c>
      <c r="L273" s="12">
        <v>1131.3500000000001</v>
      </c>
      <c r="M273" s="13">
        <v>514.25</v>
      </c>
      <c r="N273" s="13">
        <v>493.68</v>
      </c>
      <c r="O273" s="13">
        <v>699.38</v>
      </c>
      <c r="P273" s="13">
        <v>411.27</v>
      </c>
      <c r="Q273" s="13">
        <v>815.64</v>
      </c>
      <c r="R273" s="13">
        <v>543.76</v>
      </c>
      <c r="S273" s="12">
        <f t="shared" si="111"/>
        <v>7756.5400000000018</v>
      </c>
    </row>
    <row r="274" spans="1:19" ht="12.75" x14ac:dyDescent="0.2">
      <c r="A274" s="58" t="s">
        <v>398</v>
      </c>
      <c r="B274" s="58" t="s">
        <v>408</v>
      </c>
      <c r="C274" s="11">
        <v>9.6</v>
      </c>
      <c r="D274" s="11">
        <v>9.6</v>
      </c>
      <c r="E274" s="11">
        <v>9.6</v>
      </c>
      <c r="F274" s="248">
        <v>34</v>
      </c>
      <c r="G274" s="12">
        <v>0</v>
      </c>
      <c r="H274" s="12">
        <v>48</v>
      </c>
      <c r="I274" s="12">
        <v>76.8</v>
      </c>
      <c r="J274" s="12">
        <v>0</v>
      </c>
      <c r="K274" s="12">
        <v>0</v>
      </c>
      <c r="L274" s="12">
        <v>57.6</v>
      </c>
      <c r="M274" s="13">
        <v>0</v>
      </c>
      <c r="N274" s="13">
        <v>28.799999999999997</v>
      </c>
      <c r="O274" s="13">
        <v>0</v>
      </c>
      <c r="P274" s="13">
        <v>19.420000000000002</v>
      </c>
      <c r="Q274" s="13">
        <v>0</v>
      </c>
      <c r="R274" s="13">
        <v>0</v>
      </c>
      <c r="S274" s="12">
        <f t="shared" si="111"/>
        <v>230.62</v>
      </c>
    </row>
    <row r="275" spans="1:19" ht="12.75" x14ac:dyDescent="0.2">
      <c r="A275" s="58" t="s">
        <v>399</v>
      </c>
      <c r="B275" s="58" t="s">
        <v>409</v>
      </c>
      <c r="C275" s="11">
        <v>18.940000000000001</v>
      </c>
      <c r="D275" s="11">
        <v>18.940000000000001</v>
      </c>
      <c r="E275" s="11">
        <v>18.940000000000001</v>
      </c>
      <c r="F275" s="248">
        <v>34</v>
      </c>
      <c r="G275" s="12">
        <v>0</v>
      </c>
      <c r="H275" s="12">
        <v>0</v>
      </c>
      <c r="I275" s="12">
        <v>0</v>
      </c>
      <c r="J275" s="12">
        <v>37.880000000000003</v>
      </c>
      <c r="K275" s="12">
        <v>0</v>
      </c>
      <c r="L275" s="12">
        <v>0</v>
      </c>
      <c r="M275" s="13">
        <v>0</v>
      </c>
      <c r="N275" s="13">
        <v>0</v>
      </c>
      <c r="O275" s="13">
        <v>0</v>
      </c>
      <c r="P275" s="13">
        <v>18.940000000000001</v>
      </c>
      <c r="Q275" s="13">
        <v>0</v>
      </c>
      <c r="R275" s="13">
        <v>0</v>
      </c>
      <c r="S275" s="12">
        <f t="shared" si="111"/>
        <v>56.820000000000007</v>
      </c>
    </row>
    <row r="276" spans="1:19" ht="12.75" x14ac:dyDescent="0.2">
      <c r="A276" s="58" t="s">
        <v>400</v>
      </c>
      <c r="B276" s="58" t="s">
        <v>410</v>
      </c>
      <c r="C276" s="11">
        <v>4.93</v>
      </c>
      <c r="D276" s="11">
        <v>4.93</v>
      </c>
      <c r="E276" s="11">
        <v>4.93</v>
      </c>
      <c r="F276" s="248">
        <v>34</v>
      </c>
      <c r="G276" s="12">
        <v>44.37</v>
      </c>
      <c r="H276" s="12">
        <v>69.02</v>
      </c>
      <c r="I276" s="12">
        <v>39.44</v>
      </c>
      <c r="J276" s="12">
        <v>207.06</v>
      </c>
      <c r="K276" s="12">
        <v>24.65</v>
      </c>
      <c r="L276" s="12">
        <v>24.65</v>
      </c>
      <c r="M276" s="13">
        <v>24.65</v>
      </c>
      <c r="N276" s="13">
        <v>24.65</v>
      </c>
      <c r="O276" s="13">
        <v>19.72</v>
      </c>
      <c r="P276" s="13">
        <v>155.36000000000001</v>
      </c>
      <c r="Q276" s="13">
        <v>233.04</v>
      </c>
      <c r="R276" s="13">
        <v>37.590000000000003</v>
      </c>
      <c r="S276" s="12">
        <f t="shared" si="111"/>
        <v>904.19999999999993</v>
      </c>
    </row>
    <row r="277" spans="1:19" ht="12.75" x14ac:dyDescent="0.2">
      <c r="A277" s="58" t="s">
        <v>401</v>
      </c>
      <c r="B277" s="58" t="s">
        <v>411</v>
      </c>
      <c r="C277" s="11">
        <v>2.59</v>
      </c>
      <c r="D277" s="11">
        <v>2.59</v>
      </c>
      <c r="E277" s="11">
        <v>2.59</v>
      </c>
      <c r="F277" s="248">
        <v>34</v>
      </c>
      <c r="G277" s="12">
        <v>77.7</v>
      </c>
      <c r="H277" s="12">
        <v>536.13</v>
      </c>
      <c r="I277" s="12">
        <v>388.5</v>
      </c>
      <c r="J277" s="12">
        <v>246.05</v>
      </c>
      <c r="K277" s="12">
        <v>95.83</v>
      </c>
      <c r="L277" s="12">
        <v>121.72999999999999</v>
      </c>
      <c r="M277" s="13">
        <v>212.38</v>
      </c>
      <c r="N277" s="13">
        <v>98.42</v>
      </c>
      <c r="O277" s="13">
        <v>103.60000000000001</v>
      </c>
      <c r="P277" s="13">
        <v>612.38</v>
      </c>
      <c r="Q277" s="13">
        <v>951.57999999999993</v>
      </c>
      <c r="R277" s="13">
        <v>-426.54</v>
      </c>
      <c r="S277" s="12">
        <f t="shared" si="111"/>
        <v>3017.76</v>
      </c>
    </row>
    <row r="278" spans="1:19" ht="12.75" x14ac:dyDescent="0.2">
      <c r="A278" s="58" t="s">
        <v>402</v>
      </c>
      <c r="B278" s="58" t="s">
        <v>412</v>
      </c>
      <c r="C278" s="11">
        <v>5.33</v>
      </c>
      <c r="D278" s="11">
        <v>5.33</v>
      </c>
      <c r="E278" s="11">
        <v>5.33</v>
      </c>
      <c r="F278" s="248">
        <v>34</v>
      </c>
      <c r="G278" s="12">
        <v>42.64</v>
      </c>
      <c r="H278" s="12">
        <v>106.6</v>
      </c>
      <c r="I278" s="12">
        <v>79.95</v>
      </c>
      <c r="J278" s="12">
        <v>138.58000000000001</v>
      </c>
      <c r="K278" s="12">
        <v>63.959999999999994</v>
      </c>
      <c r="L278" s="12">
        <v>74.62</v>
      </c>
      <c r="M278" s="13">
        <v>58.629999999999995</v>
      </c>
      <c r="N278" s="13">
        <v>63.96</v>
      </c>
      <c r="O278" s="13">
        <v>53.3</v>
      </c>
      <c r="P278" s="13">
        <v>127.18</v>
      </c>
      <c r="Q278" s="13">
        <v>174.78000000000003</v>
      </c>
      <c r="R278" s="13">
        <v>116.52</v>
      </c>
      <c r="S278" s="12">
        <f t="shared" si="111"/>
        <v>1100.72</v>
      </c>
    </row>
    <row r="279" spans="1:19" ht="12.75" x14ac:dyDescent="0.2">
      <c r="A279" s="58" t="s">
        <v>403</v>
      </c>
      <c r="B279" s="58" t="s">
        <v>413</v>
      </c>
      <c r="C279" s="11">
        <v>5.33</v>
      </c>
      <c r="D279" s="11">
        <v>5.33</v>
      </c>
      <c r="E279" s="11">
        <v>5.33</v>
      </c>
      <c r="F279" s="248">
        <v>34</v>
      </c>
      <c r="G279" s="12">
        <v>31.98</v>
      </c>
      <c r="H279" s="12">
        <v>-8.58</v>
      </c>
      <c r="I279" s="12">
        <v>26.65</v>
      </c>
      <c r="J279" s="12">
        <v>10.66</v>
      </c>
      <c r="K279" s="12">
        <v>5.33</v>
      </c>
      <c r="L279" s="12">
        <v>10.66</v>
      </c>
      <c r="M279" s="13">
        <v>5.33</v>
      </c>
      <c r="N279" s="13">
        <v>10.66</v>
      </c>
      <c r="O279" s="13">
        <v>5.33</v>
      </c>
      <c r="P279" s="13">
        <v>19.420000000000002</v>
      </c>
      <c r="Q279" s="13">
        <v>38.840000000000003</v>
      </c>
      <c r="R279" s="13">
        <v>77.680000000000007</v>
      </c>
      <c r="S279" s="12">
        <f t="shared" si="111"/>
        <v>233.95999999999998</v>
      </c>
    </row>
    <row r="280" spans="1:19" x14ac:dyDescent="0.2">
      <c r="C280" s="12"/>
      <c r="D280" s="12"/>
      <c r="E280" s="12"/>
      <c r="F280" s="12"/>
      <c r="G280" s="12"/>
      <c r="H280" s="13" t="str">
        <f>IF(F280="","",(#REF!/F280)+(#REF!/#REF!))</f>
        <v/>
      </c>
      <c r="I280" s="13"/>
    </row>
    <row r="281" spans="1:19" x14ac:dyDescent="0.2">
      <c r="B281" s="17" t="s">
        <v>17</v>
      </c>
      <c r="F281" s="12"/>
      <c r="G281" s="23">
        <f t="shared" ref="G281:S281" si="112">SUM(G270:G280)</f>
        <v>216031.23000000004</v>
      </c>
      <c r="H281" s="23">
        <f t="shared" si="112"/>
        <v>290458.65999999997</v>
      </c>
      <c r="I281" s="23">
        <f t="shared" si="112"/>
        <v>305248.16000000003</v>
      </c>
      <c r="J281" s="23">
        <f t="shared" si="112"/>
        <v>279385.25</v>
      </c>
      <c r="K281" s="23">
        <f t="shared" si="112"/>
        <v>270185.59000000008</v>
      </c>
      <c r="L281" s="23">
        <f t="shared" si="112"/>
        <v>253574.01000000004</v>
      </c>
      <c r="M281" s="23">
        <f t="shared" si="112"/>
        <v>245329.95</v>
      </c>
      <c r="N281" s="23">
        <f t="shared" si="112"/>
        <v>248855.75</v>
      </c>
      <c r="O281" s="23">
        <f t="shared" si="112"/>
        <v>220525.5</v>
      </c>
      <c r="P281" s="23">
        <f t="shared" si="112"/>
        <v>217469.97999999998</v>
      </c>
      <c r="Q281" s="23">
        <f t="shared" si="112"/>
        <v>252714.40000000002</v>
      </c>
      <c r="R281" s="23">
        <f t="shared" si="112"/>
        <v>265427.03000000003</v>
      </c>
      <c r="S281" s="23">
        <f t="shared" si="112"/>
        <v>3065205.5100000002</v>
      </c>
    </row>
    <row r="282" spans="1:19" x14ac:dyDescent="0.2">
      <c r="F282" s="12"/>
      <c r="H282" s="15"/>
    </row>
    <row r="283" spans="1:19" x14ac:dyDescent="0.2">
      <c r="F283" s="12"/>
    </row>
    <row r="284" spans="1:19" x14ac:dyDescent="0.2">
      <c r="A284" s="9" t="s">
        <v>18</v>
      </c>
      <c r="B284" s="9" t="s">
        <v>18</v>
      </c>
      <c r="F284" s="12"/>
      <c r="G284" s="12"/>
    </row>
    <row r="285" spans="1:19" x14ac:dyDescent="0.2">
      <c r="A285" s="9"/>
      <c r="B285" s="9"/>
      <c r="F285" s="12"/>
      <c r="G285" s="12"/>
    </row>
    <row r="286" spans="1:19" ht="12.75" x14ac:dyDescent="0.2">
      <c r="A286" s="58" t="s">
        <v>19</v>
      </c>
      <c r="B286" s="58" t="s">
        <v>20</v>
      </c>
      <c r="C286" s="11">
        <v>0</v>
      </c>
      <c r="D286" s="11">
        <v>0</v>
      </c>
      <c r="E286" s="11">
        <v>0</v>
      </c>
      <c r="F286" s="11"/>
      <c r="G286" s="12">
        <v>7051.58</v>
      </c>
      <c r="H286" s="12">
        <v>2766.2400000000002</v>
      </c>
      <c r="I286" s="12">
        <v>4963.2399999999989</v>
      </c>
      <c r="J286" s="12">
        <v>2729.1100000000006</v>
      </c>
      <c r="K286" s="12">
        <v>5523.17</v>
      </c>
      <c r="L286" s="12">
        <v>2276.08</v>
      </c>
      <c r="M286" s="13">
        <v>6105.89</v>
      </c>
      <c r="N286" s="13">
        <v>541.83999999999992</v>
      </c>
      <c r="O286" s="13">
        <v>6960.3900000000012</v>
      </c>
      <c r="P286" s="13">
        <v>2137.1999999999998</v>
      </c>
      <c r="Q286" s="13">
        <v>5016.9400000000014</v>
      </c>
      <c r="R286" s="13">
        <v>1660.8600000000004</v>
      </c>
      <c r="S286" s="12">
        <f>SUM(G286:R286)</f>
        <v>47732.54</v>
      </c>
    </row>
    <row r="287" spans="1:19" ht="12.75" x14ac:dyDescent="0.2">
      <c r="A287" s="58" t="s">
        <v>1009</v>
      </c>
      <c r="B287" s="58" t="s">
        <v>1361</v>
      </c>
      <c r="C287" s="11">
        <v>0</v>
      </c>
      <c r="D287" s="11">
        <v>0</v>
      </c>
      <c r="E287" s="11">
        <v>0</v>
      </c>
      <c r="F287" s="11"/>
      <c r="G287" s="12">
        <v>0</v>
      </c>
      <c r="H287" s="12">
        <v>0</v>
      </c>
      <c r="I287" s="12">
        <v>0</v>
      </c>
      <c r="J287" s="12">
        <v>0</v>
      </c>
      <c r="K287" s="12">
        <v>0</v>
      </c>
      <c r="L287" s="12">
        <v>0</v>
      </c>
      <c r="M287" s="13">
        <v>0</v>
      </c>
      <c r="N287" s="13">
        <v>0</v>
      </c>
      <c r="O287" s="13">
        <v>0</v>
      </c>
      <c r="P287" s="13">
        <v>0</v>
      </c>
      <c r="Q287" s="13">
        <v>0</v>
      </c>
      <c r="R287" s="13">
        <v>0</v>
      </c>
      <c r="S287" s="12">
        <f>SUM(G287:R287)</f>
        <v>0</v>
      </c>
    </row>
    <row r="288" spans="1:19" ht="12.75" x14ac:dyDescent="0.2">
      <c r="A288" s="58" t="s">
        <v>1319</v>
      </c>
      <c r="B288" s="58" t="s">
        <v>1364</v>
      </c>
      <c r="C288" s="11">
        <v>0</v>
      </c>
      <c r="D288" s="11">
        <v>0</v>
      </c>
      <c r="E288" s="11">
        <v>0</v>
      </c>
      <c r="F288" s="11"/>
      <c r="G288" s="12">
        <v>0</v>
      </c>
      <c r="H288" s="12">
        <v>0</v>
      </c>
      <c r="I288" s="12">
        <v>0</v>
      </c>
      <c r="J288" s="12">
        <v>0</v>
      </c>
      <c r="K288" s="12">
        <v>0</v>
      </c>
      <c r="L288" s="12">
        <v>0</v>
      </c>
      <c r="M288" s="13">
        <v>0</v>
      </c>
      <c r="N288" s="13">
        <v>0</v>
      </c>
      <c r="O288" s="13">
        <v>0</v>
      </c>
      <c r="P288" s="13">
        <v>0</v>
      </c>
      <c r="Q288" s="13">
        <v>0</v>
      </c>
      <c r="R288" s="13">
        <v>0</v>
      </c>
      <c r="S288" s="12">
        <f>SUM(G288:R288)</f>
        <v>0</v>
      </c>
    </row>
    <row r="289" spans="2:43" x14ac:dyDescent="0.2">
      <c r="F289" s="12"/>
      <c r="G289" s="12"/>
      <c r="H289" s="13" t="str">
        <f>IF(F289="","",(#REF!/F289)+(#REF!/#REF!))</f>
        <v/>
      </c>
      <c r="I289" s="13"/>
    </row>
    <row r="290" spans="2:43" x14ac:dyDescent="0.2">
      <c r="B290" s="17" t="s">
        <v>24</v>
      </c>
      <c r="G290" s="23">
        <f t="shared" ref="G290:S290" si="113">SUM(G286:G289)</f>
        <v>7051.58</v>
      </c>
      <c r="H290" s="23">
        <f t="shared" si="113"/>
        <v>2766.2400000000002</v>
      </c>
      <c r="I290" s="23">
        <f t="shared" si="113"/>
        <v>4963.2399999999989</v>
      </c>
      <c r="J290" s="23">
        <f t="shared" si="113"/>
        <v>2729.1100000000006</v>
      </c>
      <c r="K290" s="23">
        <f t="shared" si="113"/>
        <v>5523.17</v>
      </c>
      <c r="L290" s="23">
        <f t="shared" si="113"/>
        <v>2276.08</v>
      </c>
      <c r="M290" s="23">
        <f t="shared" si="113"/>
        <v>6105.89</v>
      </c>
      <c r="N290" s="23">
        <f t="shared" si="113"/>
        <v>541.83999999999992</v>
      </c>
      <c r="O290" s="23">
        <f t="shared" si="113"/>
        <v>6960.3900000000012</v>
      </c>
      <c r="P290" s="23">
        <f t="shared" si="113"/>
        <v>2137.1999999999998</v>
      </c>
      <c r="Q290" s="23">
        <f t="shared" si="113"/>
        <v>5016.9400000000014</v>
      </c>
      <c r="R290" s="23">
        <f t="shared" si="113"/>
        <v>1660.8600000000004</v>
      </c>
      <c r="S290" s="244">
        <f t="shared" si="113"/>
        <v>47732.54</v>
      </c>
    </row>
    <row r="292" spans="2:43" s="2" customFormat="1" ht="12.75" thickBot="1" x14ac:dyDescent="0.25">
      <c r="B292" s="17" t="s">
        <v>25</v>
      </c>
      <c r="C292" s="90"/>
      <c r="D292" s="90"/>
      <c r="E292" s="90"/>
      <c r="G292" s="24">
        <f t="shared" ref="G292:S292" si="114">SUM(G72,G195,G266,G281,G290)</f>
        <v>2458582.7450000001</v>
      </c>
      <c r="H292" s="24">
        <f t="shared" si="114"/>
        <v>2588974.6300000008</v>
      </c>
      <c r="I292" s="24">
        <f t="shared" si="114"/>
        <v>2652291.0000000005</v>
      </c>
      <c r="J292" s="24">
        <f t="shared" si="114"/>
        <v>2569556.5400000005</v>
      </c>
      <c r="K292" s="24">
        <f t="shared" si="114"/>
        <v>2627376.2750000004</v>
      </c>
      <c r="L292" s="24">
        <f t="shared" si="114"/>
        <v>2547790.7400000007</v>
      </c>
      <c r="M292" s="24">
        <f t="shared" si="114"/>
        <v>2553199.0299999998</v>
      </c>
      <c r="N292" s="24">
        <f t="shared" si="114"/>
        <v>2537943.6349999998</v>
      </c>
      <c r="O292" s="24">
        <f t="shared" si="114"/>
        <v>2536404.8750000009</v>
      </c>
      <c r="P292" s="24">
        <f t="shared" si="114"/>
        <v>2497675.4400000004</v>
      </c>
      <c r="Q292" s="24">
        <f t="shared" si="114"/>
        <v>2613039.3249999997</v>
      </c>
      <c r="R292" s="24">
        <f t="shared" si="114"/>
        <v>2603003.7799999998</v>
      </c>
      <c r="S292" s="107">
        <f t="shared" si="114"/>
        <v>30785838.015000012</v>
      </c>
      <c r="AE292" s="2" t="s">
        <v>1334</v>
      </c>
      <c r="AG292" s="147">
        <f>+AG266+AG195+AG72</f>
        <v>81857.590675277897</v>
      </c>
      <c r="AI292" s="1" t="s">
        <v>1350</v>
      </c>
      <c r="AK292" s="147">
        <f>+AK266+AK195+AK72</f>
        <v>52619.365813704877</v>
      </c>
      <c r="AM292" s="147">
        <f>+AM266+AM195+AM72</f>
        <v>3650.849906113478</v>
      </c>
      <c r="AO292" s="147">
        <f>+AO266+AO195+AO72</f>
        <v>409.21752104452753</v>
      </c>
      <c r="AQ292" s="228">
        <f>+AO292+AM292+AK292</f>
        <v>56679.433240862883</v>
      </c>
    </row>
    <row r="293" spans="2:43" s="2" customFormat="1" ht="12.75" thickTop="1" x14ac:dyDescent="0.2">
      <c r="C293" s="90"/>
      <c r="D293" s="90"/>
      <c r="E293" s="90"/>
      <c r="F293" s="17"/>
      <c r="G293" s="300"/>
      <c r="H293" s="300"/>
      <c r="I293" s="300"/>
      <c r="J293" s="300"/>
      <c r="K293" s="300"/>
      <c r="L293" s="300"/>
      <c r="M293" s="300"/>
      <c r="N293" s="300"/>
      <c r="O293" s="300"/>
      <c r="S293" s="108"/>
    </row>
    <row r="294" spans="2:43" s="2" customFormat="1" x14ac:dyDescent="0.2">
      <c r="C294" s="90"/>
      <c r="D294" s="90"/>
      <c r="E294" s="90"/>
      <c r="F294" s="17"/>
      <c r="G294" s="17"/>
      <c r="S294" s="108"/>
    </row>
    <row r="296" spans="2:43" x14ac:dyDescent="0.2">
      <c r="G296" s="208">
        <f>+G292/$S$292</f>
        <v>7.986083548552704E-2</v>
      </c>
      <c r="H296" s="208">
        <f t="shared" ref="H296:S296" si="115">+H292/$S$292</f>
        <v>8.4096285725227149E-2</v>
      </c>
      <c r="I296" s="208">
        <f t="shared" si="115"/>
        <v>8.6152957691380858E-2</v>
      </c>
      <c r="J296" s="208">
        <f t="shared" si="115"/>
        <v>8.3465538237030165E-2</v>
      </c>
      <c r="K296" s="208">
        <f t="shared" si="115"/>
        <v>8.5343665932362936E-2</v>
      </c>
      <c r="L296" s="208">
        <f t="shared" si="115"/>
        <v>8.2758531333745791E-2</v>
      </c>
      <c r="M296" s="208">
        <f t="shared" si="115"/>
        <v>8.2934205940926015E-2</v>
      </c>
      <c r="N296" s="208">
        <f t="shared" si="115"/>
        <v>8.2438673060107007E-2</v>
      </c>
      <c r="O296" s="208">
        <f t="shared" si="115"/>
        <v>8.2388690337556178E-2</v>
      </c>
      <c r="P296" s="208">
        <f t="shared" si="115"/>
        <v>8.1130662702215209E-2</v>
      </c>
      <c r="Q296" s="208">
        <f t="shared" si="115"/>
        <v>8.4877966411920608E-2</v>
      </c>
      <c r="R296" s="208">
        <f t="shared" si="115"/>
        <v>8.4551987142000781E-2</v>
      </c>
      <c r="S296" s="208">
        <f t="shared" si="115"/>
        <v>1</v>
      </c>
    </row>
    <row r="297" spans="2:43" s="2" customFormat="1" x14ac:dyDescent="0.2">
      <c r="B297" s="17"/>
      <c r="C297" s="90"/>
      <c r="D297" s="90"/>
      <c r="E297" s="90"/>
      <c r="S297" s="108"/>
    </row>
    <row r="298" spans="2:43" s="2" customFormat="1" x14ac:dyDescent="0.2">
      <c r="C298" s="90"/>
      <c r="D298" s="90"/>
      <c r="E298" s="90"/>
      <c r="F298" s="17"/>
      <c r="G298" s="17"/>
      <c r="S298" s="108"/>
    </row>
    <row r="299" spans="2:43" s="2" customFormat="1" x14ac:dyDescent="0.2">
      <c r="C299" s="90"/>
      <c r="D299" s="90"/>
      <c r="E299" s="90"/>
      <c r="F299" s="17"/>
      <c r="G299" s="17"/>
      <c r="S299" s="108"/>
    </row>
    <row r="300" spans="2:43" x14ac:dyDescent="0.2">
      <c r="R300" s="1" t="s">
        <v>1351</v>
      </c>
      <c r="S300" s="16">
        <f ca="1">+S292+'UTC Non-Reg Svc - Price Out '!T235+'Camas Non-Reg - Price Out'!U168+'Ridgefield Non-Reg - Price Out '!U247+'Vancouver Non-Reg - Price Out'!U455+'Washougal Non-Reg - Price Out'!U240+'West Van Non-Reg - Price Out'!T61+'Shred Non-Reg - Price Out'!Q40</f>
        <v>109162700.605</v>
      </c>
      <c r="T300" s="1" t="s">
        <v>1334</v>
      </c>
      <c r="AG300" s="14">
        <f>+AG292+AG266+AG195+AG72</f>
        <v>163715.18135055579</v>
      </c>
    </row>
    <row r="301" spans="2:43" x14ac:dyDescent="0.2">
      <c r="T301" s="1" t="s">
        <v>1352</v>
      </c>
      <c r="AH301" s="15">
        <f>+AH195+AH72</f>
        <v>1044643.0021969579</v>
      </c>
    </row>
    <row r="322" spans="19:19" x14ac:dyDescent="0.2">
      <c r="S322" s="12"/>
    </row>
    <row r="323" spans="19:19" x14ac:dyDescent="0.2">
      <c r="S323" s="12"/>
    </row>
    <row r="325" spans="19:19" x14ac:dyDescent="0.2">
      <c r="S325" s="12"/>
    </row>
    <row r="326" spans="19:19" x14ac:dyDescent="0.2">
      <c r="S326" s="12"/>
    </row>
    <row r="327" spans="19:19" x14ac:dyDescent="0.2">
      <c r="S327" s="12"/>
    </row>
    <row r="329" spans="19:19" x14ac:dyDescent="0.2">
      <c r="S329" s="12"/>
    </row>
    <row r="330" spans="19:19" x14ac:dyDescent="0.2">
      <c r="S330" s="12"/>
    </row>
    <row r="331" spans="19:19" x14ac:dyDescent="0.2">
      <c r="S331" s="12"/>
    </row>
    <row r="332" spans="19:19" x14ac:dyDescent="0.2">
      <c r="S332" s="12"/>
    </row>
    <row r="333" spans="19:19" x14ac:dyDescent="0.2">
      <c r="S333" s="12"/>
    </row>
  </sheetData>
  <autoFilter ref="A5:AH288" xr:uid="{00000000-0009-0000-0000-000010000000}"/>
  <mergeCells count="3">
    <mergeCell ref="AJ4:AK4"/>
    <mergeCell ref="AL4:AM4"/>
    <mergeCell ref="AN4:AO4"/>
  </mergeCells>
  <conditionalFormatting sqref="AI9:AI71">
    <cfRule type="cellIs" dxfId="15" priority="2" operator="greaterThan">
      <formula>0</formula>
    </cfRule>
  </conditionalFormatting>
  <pageMargins left="0.7" right="0.7" top="0.75" bottom="0.75" header="0.3" footer="0.3"/>
  <pageSetup fitToWidth="0" fitToHeight="0" orientation="portrait" r:id="rId1"/>
  <headerFooter alignWithMargins="0">
    <oddHeader>&amp;R&amp;F
&amp;A</oddHeader>
    <oddFooter>&amp;L&amp;D&amp;C&amp;P&amp;R&amp;T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6" tint="0.59999389629810485"/>
  </sheetPr>
  <dimension ref="A1:AW309"/>
  <sheetViews>
    <sheetView showGridLines="0" view="pageBreakPreview" zoomScale="70" zoomScaleNormal="90" zoomScaleSheetLayoutView="70" workbookViewId="0">
      <pane xSplit="7" ySplit="5" topLeftCell="U6" activePane="bottomRight" state="frozen"/>
      <selection activeCell="M20" sqref="M20"/>
      <selection pane="topRight" activeCell="M20" sqref="M20"/>
      <selection pane="bottomLeft" activeCell="M20" sqref="M20"/>
      <selection pane="bottomRight" activeCell="F21" sqref="A21:F23"/>
    </sheetView>
  </sheetViews>
  <sheetFormatPr defaultColWidth="10.28515625" defaultRowHeight="12" outlineLevelCol="1" x14ac:dyDescent="0.2"/>
  <cols>
    <col min="1" max="1" width="20.28515625" style="1" customWidth="1"/>
    <col min="2" max="2" width="32.5703125" style="1" customWidth="1"/>
    <col min="3" max="3" width="27.5703125" style="1" bestFit="1" customWidth="1"/>
    <col min="4" max="6" width="15.5703125" style="3" bestFit="1" customWidth="1"/>
    <col min="7" max="7" width="10.7109375" style="1" customWidth="1"/>
    <col min="8" max="8" width="17.140625" style="1" customWidth="1" outlineLevel="1"/>
    <col min="9" max="10" width="15.85546875" style="1" customWidth="1" outlineLevel="1"/>
    <col min="11" max="11" width="17.42578125" style="1" customWidth="1" outlineLevel="1"/>
    <col min="12" max="15" width="17.140625" style="1" customWidth="1" outlineLevel="1"/>
    <col min="16" max="16" width="16.42578125" style="1" customWidth="1" outlineLevel="1"/>
    <col min="17" max="17" width="17.140625" style="1" customWidth="1" outlineLevel="1"/>
    <col min="18" max="18" width="17.42578125" style="1" customWidth="1" outlineLevel="1"/>
    <col min="19" max="19" width="18.7109375" style="1" customWidth="1" outlineLevel="1"/>
    <col min="20" max="20" width="18.42578125" style="1" bestFit="1" customWidth="1"/>
    <col min="21" max="21" width="3.42578125" style="1" customWidth="1"/>
    <col min="22" max="33" width="12" style="1" customWidth="1" outlineLevel="1"/>
    <col min="34" max="36" width="10.28515625" style="1"/>
    <col min="37" max="45" width="10.28515625" style="1" customWidth="1" outlineLevel="1"/>
    <col min="46" max="48" width="10.28515625" style="1"/>
    <col min="49" max="49" width="16.85546875" style="1" bestFit="1" customWidth="1"/>
    <col min="50" max="16384" width="10.28515625" style="1"/>
  </cols>
  <sheetData>
    <row r="1" spans="2:45" ht="12" customHeight="1" x14ac:dyDescent="0.25">
      <c r="B1" s="57" t="s">
        <v>45</v>
      </c>
      <c r="J1" s="148"/>
      <c r="K1" s="89"/>
      <c r="M1" s="154"/>
      <c r="N1" s="89"/>
    </row>
    <row r="2" spans="2:45" ht="12" customHeight="1" x14ac:dyDescent="0.25">
      <c r="B2" s="57" t="s">
        <v>414</v>
      </c>
      <c r="I2" s="93"/>
      <c r="J2" s="89"/>
      <c r="K2" s="89"/>
    </row>
    <row r="3" spans="2:45" ht="12" customHeight="1" x14ac:dyDescent="0.2">
      <c r="B3" s="2" t="s">
        <v>1371</v>
      </c>
      <c r="K3" s="4"/>
      <c r="AH3" s="1" t="s">
        <v>1169</v>
      </c>
      <c r="AI3" s="1" t="s">
        <v>26</v>
      </c>
    </row>
    <row r="4" spans="2:45" ht="12" customHeight="1" x14ac:dyDescent="0.2">
      <c r="C4" s="5"/>
      <c r="D4" s="206">
        <v>44927</v>
      </c>
      <c r="E4" s="206">
        <v>45108</v>
      </c>
      <c r="F4" s="206">
        <v>45292</v>
      </c>
      <c r="H4" s="297">
        <v>45017</v>
      </c>
      <c r="I4" s="297">
        <v>45047</v>
      </c>
      <c r="J4" s="297">
        <v>45078</v>
      </c>
      <c r="K4" s="36">
        <v>45108</v>
      </c>
      <c r="L4" s="36">
        <v>45139</v>
      </c>
      <c r="M4" s="36">
        <v>45170</v>
      </c>
      <c r="N4" s="36">
        <v>45200</v>
      </c>
      <c r="O4" s="36">
        <v>45231</v>
      </c>
      <c r="P4" s="36">
        <v>45261</v>
      </c>
      <c r="Q4" s="38">
        <v>45292</v>
      </c>
      <c r="R4" s="38">
        <v>45323</v>
      </c>
      <c r="S4" s="38">
        <v>45352</v>
      </c>
      <c r="T4" s="91" t="s">
        <v>1370</v>
      </c>
      <c r="V4" s="297">
        <v>45017</v>
      </c>
      <c r="W4" s="297">
        <v>45047</v>
      </c>
      <c r="X4" s="297">
        <v>45078</v>
      </c>
      <c r="Y4" s="36">
        <v>45108</v>
      </c>
      <c r="Z4" s="36">
        <v>45139</v>
      </c>
      <c r="AA4" s="36">
        <v>45170</v>
      </c>
      <c r="AB4" s="36">
        <v>45200</v>
      </c>
      <c r="AC4" s="36">
        <v>45231</v>
      </c>
      <c r="AD4" s="36">
        <v>45261</v>
      </c>
      <c r="AE4" s="38">
        <v>45292</v>
      </c>
      <c r="AF4" s="38">
        <v>45323</v>
      </c>
      <c r="AG4" s="38">
        <v>45352</v>
      </c>
      <c r="AH4" s="91" t="s">
        <v>1370</v>
      </c>
      <c r="AI4" s="91" t="s">
        <v>1370</v>
      </c>
      <c r="AL4" s="305" t="s">
        <v>1325</v>
      </c>
      <c r="AM4" s="306"/>
      <c r="AN4" s="305" t="s">
        <v>1326</v>
      </c>
      <c r="AO4" s="306"/>
      <c r="AP4" s="305" t="s">
        <v>1327</v>
      </c>
      <c r="AQ4" s="306"/>
      <c r="AR4" s="305" t="s">
        <v>1330</v>
      </c>
      <c r="AS4" s="306"/>
    </row>
    <row r="5" spans="2:45" ht="12" customHeight="1" x14ac:dyDescent="0.2">
      <c r="B5" s="6" t="s">
        <v>0</v>
      </c>
      <c r="C5" s="5" t="s">
        <v>1</v>
      </c>
      <c r="D5" s="35" t="s">
        <v>1305</v>
      </c>
      <c r="E5" s="35" t="s">
        <v>1305</v>
      </c>
      <c r="F5" s="35" t="s">
        <v>1305</v>
      </c>
      <c r="G5" s="5"/>
      <c r="H5" s="298" t="s">
        <v>21</v>
      </c>
      <c r="I5" s="298" t="s">
        <v>21</v>
      </c>
      <c r="J5" s="298" t="s">
        <v>21</v>
      </c>
      <c r="K5" s="37" t="s">
        <v>21</v>
      </c>
      <c r="L5" s="37" t="s">
        <v>21</v>
      </c>
      <c r="M5" s="37" t="s">
        <v>21</v>
      </c>
      <c r="N5" s="37" t="s">
        <v>21</v>
      </c>
      <c r="O5" s="37" t="s">
        <v>21</v>
      </c>
      <c r="P5" s="37" t="s">
        <v>21</v>
      </c>
      <c r="Q5" s="39" t="s">
        <v>21</v>
      </c>
      <c r="R5" s="39" t="s">
        <v>21</v>
      </c>
      <c r="S5" s="39" t="s">
        <v>21</v>
      </c>
      <c r="T5" s="37" t="s">
        <v>21</v>
      </c>
      <c r="V5" s="39" t="s">
        <v>27</v>
      </c>
      <c r="W5" s="39" t="s">
        <v>27</v>
      </c>
      <c r="X5" s="39" t="s">
        <v>27</v>
      </c>
      <c r="Y5" s="39" t="s">
        <v>27</v>
      </c>
      <c r="Z5" s="39" t="s">
        <v>27</v>
      </c>
      <c r="AA5" s="39" t="s">
        <v>27</v>
      </c>
      <c r="AB5" s="39" t="s">
        <v>27</v>
      </c>
      <c r="AC5" s="39" t="s">
        <v>27</v>
      </c>
      <c r="AD5" s="39" t="s">
        <v>27</v>
      </c>
      <c r="AE5" s="39" t="s">
        <v>27</v>
      </c>
      <c r="AF5" s="39" t="s">
        <v>27</v>
      </c>
      <c r="AG5" s="39" t="s">
        <v>27</v>
      </c>
      <c r="AH5" s="39" t="s">
        <v>27</v>
      </c>
      <c r="AI5" s="39" t="s">
        <v>27</v>
      </c>
      <c r="AL5" s="209" t="s">
        <v>1328</v>
      </c>
      <c r="AM5" s="210" t="s">
        <v>1329</v>
      </c>
      <c r="AN5" s="209" t="s">
        <v>1328</v>
      </c>
      <c r="AO5" s="210" t="s">
        <v>1329</v>
      </c>
      <c r="AP5" s="209" t="s">
        <v>1328</v>
      </c>
      <c r="AQ5" s="210" t="s">
        <v>1329</v>
      </c>
      <c r="AR5" s="209" t="s">
        <v>1328</v>
      </c>
      <c r="AS5" s="210" t="s">
        <v>1329</v>
      </c>
    </row>
    <row r="6" spans="2:45" ht="12" customHeight="1" x14ac:dyDescent="0.2">
      <c r="H6" s="1">
        <v>6</v>
      </c>
      <c r="I6" s="1">
        <v>7</v>
      </c>
      <c r="J6" s="1">
        <v>8</v>
      </c>
      <c r="K6" s="1">
        <v>9</v>
      </c>
      <c r="L6" s="1">
        <v>10</v>
      </c>
      <c r="M6" s="1">
        <v>11</v>
      </c>
      <c r="N6" s="1">
        <v>12</v>
      </c>
      <c r="O6" s="1">
        <v>13</v>
      </c>
      <c r="P6" s="1">
        <v>14</v>
      </c>
      <c r="Q6" s="1">
        <v>3</v>
      </c>
      <c r="R6" s="1">
        <v>4</v>
      </c>
      <c r="S6" s="1">
        <v>5</v>
      </c>
    </row>
    <row r="7" spans="2:45" ht="12" customHeight="1" x14ac:dyDescent="0.2">
      <c r="B7" s="26"/>
      <c r="C7" s="26"/>
      <c r="G7" s="8"/>
      <c r="H7" s="8"/>
    </row>
    <row r="8" spans="2:45" ht="12" customHeight="1" x14ac:dyDescent="0.2">
      <c r="B8" s="27" t="s">
        <v>2</v>
      </c>
      <c r="C8" s="27" t="s">
        <v>2</v>
      </c>
      <c r="G8" s="8"/>
      <c r="H8" s="8"/>
    </row>
    <row r="9" spans="2:45" ht="12" customHeight="1" x14ac:dyDescent="0.2">
      <c r="B9" s="27"/>
      <c r="C9" s="28"/>
      <c r="D9" s="11"/>
      <c r="E9" s="11"/>
      <c r="F9" s="11"/>
      <c r="G9" s="11"/>
      <c r="H9" s="12"/>
      <c r="I9" s="13" t="str">
        <f>IF(G9="","",(#REF!/G9)+(#REF!/#REF!))</f>
        <v/>
      </c>
      <c r="J9" s="13" t="str">
        <f>IF(G9="","",I9/12)</f>
        <v/>
      </c>
      <c r="K9" s="16"/>
      <c r="L9" s="14"/>
      <c r="V9" s="25"/>
      <c r="W9" s="25"/>
      <c r="X9" s="25"/>
      <c r="Y9" s="25"/>
      <c r="Z9" s="25"/>
      <c r="AA9" s="25"/>
      <c r="AB9" s="25"/>
      <c r="AC9" s="25"/>
      <c r="AD9" s="25"/>
      <c r="AE9" s="25"/>
      <c r="AF9" s="25"/>
      <c r="AG9" s="25"/>
    </row>
    <row r="10" spans="2:45" ht="12" customHeight="1" x14ac:dyDescent="0.2">
      <c r="B10" s="29" t="s">
        <v>5</v>
      </c>
      <c r="C10" s="29" t="s">
        <v>5</v>
      </c>
      <c r="D10" s="11"/>
      <c r="E10" s="11"/>
      <c r="F10" s="11"/>
      <c r="G10" s="11"/>
      <c r="H10" s="12"/>
      <c r="I10" s="13" t="str">
        <f>IF(G10="","",(#REF!/G10)+(#REF!/#REF!))</f>
        <v/>
      </c>
      <c r="J10" s="13" t="str">
        <f>IF(G10="","",I10/12)</f>
        <v/>
      </c>
      <c r="K10" s="12"/>
      <c r="L10" s="14"/>
      <c r="V10" s="25"/>
      <c r="W10" s="25"/>
      <c r="X10" s="25"/>
      <c r="Y10" s="25"/>
      <c r="Z10" s="25"/>
      <c r="AA10" s="25"/>
      <c r="AB10" s="25"/>
      <c r="AC10" s="25"/>
      <c r="AD10" s="25"/>
      <c r="AE10" s="25"/>
      <c r="AF10" s="25"/>
      <c r="AG10" s="25"/>
      <c r="AS10" s="16">
        <f t="shared" ref="AS10:AS24" si="0">+$AH10*AR10</f>
        <v>0</v>
      </c>
    </row>
    <row r="11" spans="2:45" s="241" customFormat="1" ht="12" customHeight="1" x14ac:dyDescent="0.2">
      <c r="B11" s="250" t="s">
        <v>415</v>
      </c>
      <c r="C11" s="232" t="s">
        <v>424</v>
      </c>
      <c r="D11" s="238">
        <v>7.1230000000000002</v>
      </c>
      <c r="E11" s="238">
        <v>7.1230000000000002</v>
      </c>
      <c r="F11" s="238">
        <v>7.8979999999999988</v>
      </c>
      <c r="G11" s="238"/>
      <c r="H11" s="233">
        <v>417.38</v>
      </c>
      <c r="I11" s="233">
        <v>427.81</v>
      </c>
      <c r="J11" s="233">
        <v>427.79999999999995</v>
      </c>
      <c r="K11" s="233">
        <v>429.21</v>
      </c>
      <c r="L11" s="233">
        <v>417.38499999999999</v>
      </c>
      <c r="M11" s="233">
        <v>427.80499999999995</v>
      </c>
      <c r="N11" s="233">
        <v>448.10999999999996</v>
      </c>
      <c r="O11" s="240">
        <v>448.09999999999997</v>
      </c>
      <c r="P11" s="240">
        <v>479.255</v>
      </c>
      <c r="Q11" s="240">
        <v>479.255</v>
      </c>
      <c r="R11" s="240">
        <v>508.63499999999999</v>
      </c>
      <c r="S11" s="240">
        <v>511.17500000000001</v>
      </c>
      <c r="T11" s="240">
        <f>SUM(H11:S11)</f>
        <v>5421.92</v>
      </c>
      <c r="V11" s="240">
        <f>IFERROR(H11/$D11,0)</f>
        <v>58.596097150077213</v>
      </c>
      <c r="W11" s="240">
        <f>IFERROR(I11/$D11,0)</f>
        <v>60.060367822546681</v>
      </c>
      <c r="X11" s="240">
        <f>IFERROR(J11/$D11,0)</f>
        <v>60.058963919696751</v>
      </c>
      <c r="Y11" s="240">
        <f t="shared" ref="Y11:AD11" si="1">IFERROR(K11/$E11,0)</f>
        <v>60.256914221535865</v>
      </c>
      <c r="Z11" s="240">
        <f t="shared" si="1"/>
        <v>58.596799101502171</v>
      </c>
      <c r="AA11" s="240">
        <f t="shared" si="1"/>
        <v>60.059665871121709</v>
      </c>
      <c r="AB11" s="240">
        <f t="shared" si="1"/>
        <v>62.910290607889927</v>
      </c>
      <c r="AC11" s="240">
        <f t="shared" si="1"/>
        <v>62.908886705040004</v>
      </c>
      <c r="AD11" s="240">
        <f t="shared" si="1"/>
        <v>67.282746033974448</v>
      </c>
      <c r="AE11" s="240">
        <f>IFERROR(Q11/$F11,0)</f>
        <v>60.680552038490767</v>
      </c>
      <c r="AF11" s="240">
        <f>IFERROR(R11/$F11,0)</f>
        <v>64.400481134464428</v>
      </c>
      <c r="AG11" s="240">
        <f>IFERROR(S11/$F11,0)</f>
        <v>64.722081539630295</v>
      </c>
      <c r="AH11" s="242">
        <f>+IFERROR(AVERAGE(V11:AG11),0)</f>
        <v>61.711153845497513</v>
      </c>
      <c r="AI11" s="242">
        <f>+SUM(V11:AG11)</f>
        <v>740.53384614597019</v>
      </c>
      <c r="AL11" s="241">
        <v>1</v>
      </c>
      <c r="AM11" s="240">
        <f>+AH11*AL11</f>
        <v>61.711153845497513</v>
      </c>
      <c r="AO11" s="233">
        <f>+$AH11*AN11</f>
        <v>0</v>
      </c>
      <c r="AQ11" s="233">
        <f>+$AH11*AP11</f>
        <v>0</v>
      </c>
      <c r="AS11" s="233">
        <f t="shared" si="0"/>
        <v>0</v>
      </c>
    </row>
    <row r="12" spans="2:45" s="241" customFormat="1" ht="12" customHeight="1" x14ac:dyDescent="0.2">
      <c r="B12" s="250" t="s">
        <v>416</v>
      </c>
      <c r="C12" s="232" t="s">
        <v>425</v>
      </c>
      <c r="D12" s="238">
        <v>7.1230000000000002</v>
      </c>
      <c r="E12" s="238">
        <v>7.1230000000000002</v>
      </c>
      <c r="F12" s="238">
        <v>7.992</v>
      </c>
      <c r="G12" s="238"/>
      <c r="H12" s="233">
        <v>2647.2350000000001</v>
      </c>
      <c r="I12" s="233">
        <v>2633.335</v>
      </c>
      <c r="J12" s="233">
        <v>2661.05</v>
      </c>
      <c r="K12" s="233">
        <v>2647.15</v>
      </c>
      <c r="L12" s="233">
        <v>2722.8349999999996</v>
      </c>
      <c r="M12" s="233">
        <v>2712.3949999999995</v>
      </c>
      <c r="N12" s="233">
        <v>2726.9999999999995</v>
      </c>
      <c r="O12" s="240">
        <v>2723.5199999999995</v>
      </c>
      <c r="P12" s="240">
        <v>2862.395</v>
      </c>
      <c r="Q12" s="240">
        <v>2855.1550000000002</v>
      </c>
      <c r="R12" s="240">
        <v>3030.8499999999995</v>
      </c>
      <c r="S12" s="240">
        <v>3030.8499999999995</v>
      </c>
      <c r="T12" s="240">
        <f t="shared" ref="T12:T36" si="2">SUM(H12:S12)</f>
        <v>33253.769999999997</v>
      </c>
      <c r="V12" s="240">
        <f t="shared" ref="V12:V36" si="3">IFERROR(H12/$D12,0)</f>
        <v>371.6460760915345</v>
      </c>
      <c r="W12" s="240">
        <f t="shared" ref="W12:W36" si="4">IFERROR(I12/$D12,0)</f>
        <v>369.69465113014178</v>
      </c>
      <c r="X12" s="240">
        <f t="shared" ref="X12:X36" si="5">IFERROR(J12/$D12,0)</f>
        <v>373.58556787870282</v>
      </c>
      <c r="Y12" s="240">
        <f t="shared" ref="Y12:Y36" si="6">IFERROR(K12/$E12,0)</f>
        <v>371.6341429173101</v>
      </c>
      <c r="Z12" s="240">
        <f t="shared" ref="Z12:Z36" si="7">IFERROR(L12/$E12,0)</f>
        <v>382.25958163695066</v>
      </c>
      <c r="AA12" s="240">
        <f t="shared" ref="AA12:AA36" si="8">IFERROR(M12/$E12,0)</f>
        <v>380.79390706163127</v>
      </c>
      <c r="AB12" s="240">
        <f t="shared" ref="AB12:AB36" si="9">IFERROR(N12/$E12,0)</f>
        <v>382.84430717394349</v>
      </c>
      <c r="AC12" s="240">
        <f t="shared" ref="AC12:AC36" si="10">IFERROR(O12/$E12,0)</f>
        <v>382.35574898217038</v>
      </c>
      <c r="AD12" s="240">
        <f t="shared" ref="AD12:AD36" si="11">IFERROR(P12/$E12,0)</f>
        <v>401.8524498104731</v>
      </c>
      <c r="AE12" s="240">
        <f t="shared" ref="AE12:AE36" si="12">IFERROR(Q12/$F12,0)</f>
        <v>357.25162662662666</v>
      </c>
      <c r="AF12" s="240">
        <f t="shared" ref="AF12:AF36" si="13">IFERROR(R12/$F12,0)</f>
        <v>379.23548548548541</v>
      </c>
      <c r="AG12" s="240">
        <f t="shared" ref="AG12:AG36" si="14">IFERROR(S12/$F12,0)</f>
        <v>379.23548548548541</v>
      </c>
      <c r="AH12" s="242">
        <f t="shared" ref="AH12:AH22" si="15">+IFERROR(AVERAGE(V12:AG12),0)</f>
        <v>377.69908585670464</v>
      </c>
      <c r="AI12" s="242">
        <f t="shared" ref="AI12:AI26" si="16">+SUM(V12:AG12)</f>
        <v>4532.3890302804557</v>
      </c>
      <c r="AL12" s="241">
        <v>1</v>
      </c>
      <c r="AM12" s="240">
        <f t="shared" ref="AM12:AM26" si="17">+AH12*AL12</f>
        <v>377.69908585670464</v>
      </c>
      <c r="AO12" s="233">
        <f t="shared" ref="AO12:AQ26" si="18">+$AH12*AN12</f>
        <v>0</v>
      </c>
      <c r="AQ12" s="233">
        <f t="shared" si="18"/>
        <v>0</v>
      </c>
      <c r="AS12" s="233">
        <f t="shared" si="0"/>
        <v>0</v>
      </c>
    </row>
    <row r="13" spans="2:45" s="241" customFormat="1" ht="12" customHeight="1" x14ac:dyDescent="0.2">
      <c r="B13" s="250" t="s">
        <v>417</v>
      </c>
      <c r="C13" s="232" t="s">
        <v>426</v>
      </c>
      <c r="D13" s="238">
        <v>7.1230000000000002</v>
      </c>
      <c r="E13" s="238">
        <v>7.1230000000000002</v>
      </c>
      <c r="F13" s="238">
        <v>7.992</v>
      </c>
      <c r="G13" s="238"/>
      <c r="H13" s="233">
        <v>353.87</v>
      </c>
      <c r="I13" s="233">
        <v>353.87</v>
      </c>
      <c r="J13" s="233">
        <v>352.13</v>
      </c>
      <c r="K13" s="233">
        <v>352.13</v>
      </c>
      <c r="L13" s="233">
        <v>353.87</v>
      </c>
      <c r="M13" s="233">
        <v>353.87</v>
      </c>
      <c r="N13" s="233">
        <v>364.29500000000002</v>
      </c>
      <c r="O13" s="240">
        <v>364.29500000000002</v>
      </c>
      <c r="P13" s="240">
        <v>372.18</v>
      </c>
      <c r="Q13" s="240">
        <v>372.18</v>
      </c>
      <c r="R13" s="240">
        <v>385.375</v>
      </c>
      <c r="S13" s="240">
        <v>385.375</v>
      </c>
      <c r="T13" s="240">
        <f t="shared" si="2"/>
        <v>4363.4399999999996</v>
      </c>
      <c r="V13" s="240">
        <f t="shared" si="3"/>
        <v>49.679910150217601</v>
      </c>
      <c r="W13" s="240">
        <f t="shared" si="4"/>
        <v>49.679910150217601</v>
      </c>
      <c r="X13" s="240">
        <f t="shared" si="5"/>
        <v>49.43563105433104</v>
      </c>
      <c r="Y13" s="240">
        <f t="shared" si="6"/>
        <v>49.43563105433104</v>
      </c>
      <c r="Z13" s="240">
        <f t="shared" si="7"/>
        <v>49.679910150217601</v>
      </c>
      <c r="AA13" s="240">
        <f t="shared" si="8"/>
        <v>49.679910150217601</v>
      </c>
      <c r="AB13" s="240">
        <f t="shared" si="9"/>
        <v>51.143478871262111</v>
      </c>
      <c r="AC13" s="240">
        <f t="shared" si="10"/>
        <v>51.143478871262111</v>
      </c>
      <c r="AD13" s="240">
        <f t="shared" si="11"/>
        <v>52.250456268426227</v>
      </c>
      <c r="AE13" s="240">
        <f t="shared" si="12"/>
        <v>46.569069069069073</v>
      </c>
      <c r="AF13" s="240">
        <f t="shared" si="13"/>
        <v>48.220095095095097</v>
      </c>
      <c r="AG13" s="240">
        <f t="shared" si="14"/>
        <v>48.220095095095097</v>
      </c>
      <c r="AH13" s="242">
        <f t="shared" si="15"/>
        <v>49.594797998311854</v>
      </c>
      <c r="AI13" s="242">
        <f t="shared" si="16"/>
        <v>595.13757597974222</v>
      </c>
      <c r="AL13" s="241">
        <v>1</v>
      </c>
      <c r="AM13" s="240">
        <f t="shared" si="17"/>
        <v>49.594797998311854</v>
      </c>
      <c r="AO13" s="233">
        <f t="shared" si="18"/>
        <v>0</v>
      </c>
      <c r="AQ13" s="233">
        <f t="shared" si="18"/>
        <v>0</v>
      </c>
      <c r="AS13" s="233">
        <f t="shared" si="0"/>
        <v>0</v>
      </c>
    </row>
    <row r="14" spans="2:45" s="241" customFormat="1" ht="12" customHeight="1" x14ac:dyDescent="0.2">
      <c r="B14" s="250" t="s">
        <v>1299</v>
      </c>
      <c r="C14" s="232" t="s">
        <v>1300</v>
      </c>
      <c r="D14" s="238">
        <v>7.12</v>
      </c>
      <c r="E14" s="238">
        <v>7.12</v>
      </c>
      <c r="F14" s="238">
        <v>7.992</v>
      </c>
      <c r="G14" s="238"/>
      <c r="H14" s="233">
        <v>0</v>
      </c>
      <c r="I14" s="233">
        <v>0</v>
      </c>
      <c r="J14" s="233">
        <v>0</v>
      </c>
      <c r="K14" s="233">
        <v>0</v>
      </c>
      <c r="L14" s="233">
        <v>0</v>
      </c>
      <c r="M14" s="233">
        <v>0</v>
      </c>
      <c r="N14" s="233">
        <v>0</v>
      </c>
      <c r="O14" s="240">
        <v>0</v>
      </c>
      <c r="P14" s="240">
        <v>0</v>
      </c>
      <c r="Q14" s="240">
        <v>0</v>
      </c>
      <c r="R14" s="240">
        <v>0</v>
      </c>
      <c r="S14" s="240">
        <v>0</v>
      </c>
      <c r="T14" s="240">
        <f t="shared" si="2"/>
        <v>0</v>
      </c>
      <c r="V14" s="240">
        <f t="shared" si="3"/>
        <v>0</v>
      </c>
      <c r="W14" s="240">
        <f t="shared" si="4"/>
        <v>0</v>
      </c>
      <c r="X14" s="240">
        <f t="shared" si="5"/>
        <v>0</v>
      </c>
      <c r="Y14" s="240">
        <f t="shared" si="6"/>
        <v>0</v>
      </c>
      <c r="Z14" s="240">
        <f t="shared" si="7"/>
        <v>0</v>
      </c>
      <c r="AA14" s="240">
        <f t="shared" si="8"/>
        <v>0</v>
      </c>
      <c r="AB14" s="240">
        <f t="shared" si="9"/>
        <v>0</v>
      </c>
      <c r="AC14" s="240">
        <f t="shared" si="10"/>
        <v>0</v>
      </c>
      <c r="AD14" s="240">
        <f t="shared" si="11"/>
        <v>0</v>
      </c>
      <c r="AE14" s="240">
        <f t="shared" si="12"/>
        <v>0</v>
      </c>
      <c r="AF14" s="240">
        <f t="shared" si="13"/>
        <v>0</v>
      </c>
      <c r="AG14" s="240">
        <f t="shared" si="14"/>
        <v>0</v>
      </c>
      <c r="AH14" s="242">
        <f>+IFERROR(AVERAGE(V14:AG14),0)</f>
        <v>0</v>
      </c>
      <c r="AI14" s="242">
        <f t="shared" si="16"/>
        <v>0</v>
      </c>
      <c r="AL14" s="241">
        <v>1</v>
      </c>
      <c r="AM14" s="240">
        <f t="shared" si="17"/>
        <v>0</v>
      </c>
      <c r="AO14" s="233">
        <f t="shared" si="18"/>
        <v>0</v>
      </c>
      <c r="AQ14" s="233">
        <f t="shared" si="18"/>
        <v>0</v>
      </c>
      <c r="AS14" s="233">
        <f t="shared" si="0"/>
        <v>0</v>
      </c>
    </row>
    <row r="15" spans="2:45" s="241" customFormat="1" ht="12" customHeight="1" x14ac:dyDescent="0.2">
      <c r="B15" s="250" t="s">
        <v>418</v>
      </c>
      <c r="C15" s="232" t="s">
        <v>427</v>
      </c>
      <c r="D15" s="238">
        <v>7.12</v>
      </c>
      <c r="E15" s="238">
        <v>7.12</v>
      </c>
      <c r="F15" s="238">
        <v>7.8979999999999988</v>
      </c>
      <c r="G15" s="238"/>
      <c r="H15" s="233">
        <v>375776.28</v>
      </c>
      <c r="I15" s="233">
        <v>374533.33000000007</v>
      </c>
      <c r="J15" s="233">
        <v>373602.15500000003</v>
      </c>
      <c r="K15" s="233">
        <v>372469.80499999999</v>
      </c>
      <c r="L15" s="233">
        <v>371960.36999999994</v>
      </c>
      <c r="M15" s="233">
        <v>370771.22000000003</v>
      </c>
      <c r="N15" s="233">
        <v>367982.6999999999</v>
      </c>
      <c r="O15" s="240">
        <v>366987.63999999996</v>
      </c>
      <c r="P15" s="240">
        <v>375573.53000000009</v>
      </c>
      <c r="Q15" s="240">
        <v>374010.90000000008</v>
      </c>
      <c r="R15" s="240">
        <v>382899.3550000001</v>
      </c>
      <c r="S15" s="240">
        <v>381929.83500000002</v>
      </c>
      <c r="T15" s="240">
        <f t="shared" si="2"/>
        <v>4488497.12</v>
      </c>
      <c r="V15" s="240">
        <f t="shared" si="3"/>
        <v>52777.567415730344</v>
      </c>
      <c r="W15" s="240">
        <f t="shared" si="4"/>
        <v>52602.995786516862</v>
      </c>
      <c r="X15" s="240">
        <f t="shared" si="5"/>
        <v>52472.212780898881</v>
      </c>
      <c r="Y15" s="240">
        <f t="shared" si="6"/>
        <v>52313.174859550563</v>
      </c>
      <c r="Z15" s="240">
        <f t="shared" si="7"/>
        <v>52241.624999999993</v>
      </c>
      <c r="AA15" s="240">
        <f t="shared" si="8"/>
        <v>52074.6095505618</v>
      </c>
      <c r="AB15" s="240">
        <f t="shared" si="9"/>
        <v>51682.96348314605</v>
      </c>
      <c r="AC15" s="240">
        <f t="shared" si="10"/>
        <v>51543.20786516853</v>
      </c>
      <c r="AD15" s="240">
        <f t="shared" si="11"/>
        <v>52749.091292134843</v>
      </c>
      <c r="AE15" s="240">
        <f t="shared" si="12"/>
        <v>47355.140541909364</v>
      </c>
      <c r="AF15" s="240">
        <f t="shared" si="13"/>
        <v>48480.546340845802</v>
      </c>
      <c r="AG15" s="240">
        <f t="shared" si="14"/>
        <v>48357.79121296532</v>
      </c>
      <c r="AH15" s="242">
        <f t="shared" si="15"/>
        <v>51220.910510785696</v>
      </c>
      <c r="AI15" s="242">
        <f t="shared" si="16"/>
        <v>614650.92612942832</v>
      </c>
      <c r="AL15" s="241">
        <v>1</v>
      </c>
      <c r="AM15" s="240">
        <f t="shared" si="17"/>
        <v>51220.910510785696</v>
      </c>
      <c r="AO15" s="233">
        <f t="shared" si="18"/>
        <v>0</v>
      </c>
      <c r="AQ15" s="233">
        <f t="shared" si="18"/>
        <v>0</v>
      </c>
      <c r="AS15" s="233">
        <f t="shared" si="0"/>
        <v>0</v>
      </c>
    </row>
    <row r="16" spans="2:45" s="241" customFormat="1" ht="12" customHeight="1" x14ac:dyDescent="0.2">
      <c r="B16" s="250" t="s">
        <v>777</v>
      </c>
      <c r="C16" s="232" t="s">
        <v>782</v>
      </c>
      <c r="D16" s="238">
        <v>7.1230000000000002</v>
      </c>
      <c r="E16" s="238">
        <v>7.1230000000000002</v>
      </c>
      <c r="F16" s="238">
        <v>7.992</v>
      </c>
      <c r="G16" s="238"/>
      <c r="H16" s="233">
        <v>0</v>
      </c>
      <c r="I16" s="233">
        <v>0</v>
      </c>
      <c r="J16" s="233">
        <v>0</v>
      </c>
      <c r="K16" s="233">
        <v>0</v>
      </c>
      <c r="L16" s="233">
        <v>0</v>
      </c>
      <c r="M16" s="233">
        <v>0</v>
      </c>
      <c r="N16" s="233">
        <v>3.4750000000000001</v>
      </c>
      <c r="O16" s="240">
        <v>3.4750000000000001</v>
      </c>
      <c r="P16" s="240">
        <v>0</v>
      </c>
      <c r="Q16" s="240">
        <v>0</v>
      </c>
      <c r="R16" s="240">
        <v>0</v>
      </c>
      <c r="S16" s="240">
        <v>0</v>
      </c>
      <c r="T16" s="240">
        <f>SUM(H16:S16)</f>
        <v>6.95</v>
      </c>
      <c r="V16" s="240">
        <f t="shared" si="3"/>
        <v>0</v>
      </c>
      <c r="W16" s="240">
        <f t="shared" si="4"/>
        <v>0</v>
      </c>
      <c r="X16" s="240">
        <f t="shared" si="5"/>
        <v>0</v>
      </c>
      <c r="Y16" s="240">
        <f t="shared" si="6"/>
        <v>0</v>
      </c>
      <c r="Z16" s="240">
        <f t="shared" si="7"/>
        <v>0</v>
      </c>
      <c r="AA16" s="240">
        <f t="shared" si="8"/>
        <v>0</v>
      </c>
      <c r="AB16" s="240">
        <f t="shared" si="9"/>
        <v>0.48785624034816788</v>
      </c>
      <c r="AC16" s="240">
        <f t="shared" si="10"/>
        <v>0.48785624034816788</v>
      </c>
      <c r="AD16" s="240">
        <f t="shared" si="11"/>
        <v>0</v>
      </c>
      <c r="AE16" s="240">
        <f t="shared" si="12"/>
        <v>0</v>
      </c>
      <c r="AF16" s="240">
        <f t="shared" si="13"/>
        <v>0</v>
      </c>
      <c r="AG16" s="240">
        <f t="shared" si="14"/>
        <v>0</v>
      </c>
      <c r="AH16" s="242">
        <f>+IFERROR(AVERAGE(V16:AG16),0)</f>
        <v>8.1309373391361309E-2</v>
      </c>
      <c r="AI16" s="242">
        <f>+SUM(V16:AG16)</f>
        <v>0.97571248069633576</v>
      </c>
      <c r="AL16" s="241">
        <v>1</v>
      </c>
      <c r="AM16" s="240">
        <f>+AH16*AL16</f>
        <v>8.1309373391361309E-2</v>
      </c>
      <c r="AO16" s="233">
        <f>+$AH16*AN16</f>
        <v>0</v>
      </c>
      <c r="AQ16" s="233">
        <f>+$AH16*AP16</f>
        <v>0</v>
      </c>
      <c r="AS16" s="233">
        <f t="shared" si="0"/>
        <v>0</v>
      </c>
    </row>
    <row r="17" spans="2:45" s="241" customFormat="1" ht="12" customHeight="1" x14ac:dyDescent="0.2">
      <c r="B17" s="250" t="s">
        <v>779</v>
      </c>
      <c r="C17" s="232" t="s">
        <v>784</v>
      </c>
      <c r="D17" s="238">
        <v>7.1230000000000002</v>
      </c>
      <c r="E17" s="238">
        <v>7.1230000000000002</v>
      </c>
      <c r="F17" s="238">
        <v>7.992</v>
      </c>
      <c r="G17" s="238"/>
      <c r="H17" s="233">
        <v>0</v>
      </c>
      <c r="I17" s="233">
        <v>0</v>
      </c>
      <c r="J17" s="233">
        <v>0</v>
      </c>
      <c r="K17" s="233">
        <v>0</v>
      </c>
      <c r="L17" s="233">
        <v>0</v>
      </c>
      <c r="M17" s="233">
        <v>-3.48</v>
      </c>
      <c r="N17" s="233">
        <v>3.4750000000000001</v>
      </c>
      <c r="O17" s="240">
        <v>3.4750000000000001</v>
      </c>
      <c r="P17" s="240">
        <v>1.74</v>
      </c>
      <c r="Q17" s="240">
        <v>1.74</v>
      </c>
      <c r="R17" s="240">
        <v>14.664999999999999</v>
      </c>
      <c r="S17" s="240">
        <v>14.664999999999999</v>
      </c>
      <c r="T17" s="240">
        <f t="shared" si="2"/>
        <v>36.28</v>
      </c>
      <c r="V17" s="240">
        <f t="shared" si="3"/>
        <v>0</v>
      </c>
      <c r="W17" s="240">
        <f t="shared" si="4"/>
        <v>0</v>
      </c>
      <c r="X17" s="240">
        <f t="shared" si="5"/>
        <v>0</v>
      </c>
      <c r="Y17" s="240">
        <f t="shared" si="6"/>
        <v>0</v>
      </c>
      <c r="Z17" s="240">
        <f t="shared" si="7"/>
        <v>0</v>
      </c>
      <c r="AA17" s="240">
        <f t="shared" si="8"/>
        <v>-0.48855819177312926</v>
      </c>
      <c r="AB17" s="240">
        <f t="shared" si="9"/>
        <v>0.48785624034816788</v>
      </c>
      <c r="AC17" s="240">
        <f t="shared" si="10"/>
        <v>0.48785624034816788</v>
      </c>
      <c r="AD17" s="240">
        <f t="shared" si="11"/>
        <v>0.24427909588656463</v>
      </c>
      <c r="AE17" s="240">
        <f t="shared" si="12"/>
        <v>0.21771771771771772</v>
      </c>
      <c r="AF17" s="240">
        <f t="shared" si="13"/>
        <v>1.8349599599599598</v>
      </c>
      <c r="AG17" s="240">
        <f t="shared" si="14"/>
        <v>1.8349599599599598</v>
      </c>
      <c r="AH17" s="242">
        <f t="shared" si="15"/>
        <v>0.38492258520395067</v>
      </c>
      <c r="AI17" s="242">
        <f t="shared" si="16"/>
        <v>4.6190710224474083</v>
      </c>
      <c r="AL17" s="241">
        <v>1</v>
      </c>
      <c r="AM17" s="240">
        <f t="shared" si="17"/>
        <v>0.38492258520395067</v>
      </c>
      <c r="AO17" s="233">
        <f t="shared" si="18"/>
        <v>0</v>
      </c>
      <c r="AQ17" s="233">
        <f t="shared" si="18"/>
        <v>0</v>
      </c>
      <c r="AS17" s="233">
        <f t="shared" si="0"/>
        <v>0</v>
      </c>
    </row>
    <row r="18" spans="2:45" s="241" customFormat="1" ht="12" customHeight="1" x14ac:dyDescent="0.2">
      <c r="B18" s="250" t="s">
        <v>780</v>
      </c>
      <c r="C18" s="232" t="s">
        <v>785</v>
      </c>
      <c r="D18" s="238">
        <v>7.1230000000000002</v>
      </c>
      <c r="E18" s="238">
        <v>7.1230000000000002</v>
      </c>
      <c r="F18" s="238">
        <v>7.992</v>
      </c>
      <c r="G18" s="238"/>
      <c r="H18" s="233">
        <v>18.995000000000001</v>
      </c>
      <c r="I18" s="233">
        <v>29.39</v>
      </c>
      <c r="J18" s="233">
        <v>3.4599999999999991</v>
      </c>
      <c r="K18" s="233">
        <v>3.4650000000000003</v>
      </c>
      <c r="L18" s="233">
        <v>15.885</v>
      </c>
      <c r="M18" s="233">
        <v>10.425000000000001</v>
      </c>
      <c r="N18" s="233">
        <v>-1.49</v>
      </c>
      <c r="O18" s="240">
        <v>-3.48</v>
      </c>
      <c r="P18" s="240">
        <v>22.925000000000001</v>
      </c>
      <c r="Q18" s="240">
        <v>22.515000000000001</v>
      </c>
      <c r="R18" s="240">
        <v>11.82</v>
      </c>
      <c r="S18" s="240">
        <v>16.73</v>
      </c>
      <c r="T18" s="240">
        <f t="shared" si="2"/>
        <v>150.63999999999999</v>
      </c>
      <c r="V18" s="240">
        <f t="shared" si="3"/>
        <v>2.6667134634283309</v>
      </c>
      <c r="W18" s="240">
        <f t="shared" si="4"/>
        <v>4.1260704759230658</v>
      </c>
      <c r="X18" s="240">
        <f t="shared" si="5"/>
        <v>0.48575038607328358</v>
      </c>
      <c r="Y18" s="240">
        <f t="shared" si="6"/>
        <v>0.48645233749824512</v>
      </c>
      <c r="Z18" s="240">
        <f t="shared" si="7"/>
        <v>2.2300996771023445</v>
      </c>
      <c r="AA18" s="240">
        <f t="shared" si="8"/>
        <v>1.4635687210445039</v>
      </c>
      <c r="AB18" s="240">
        <f t="shared" si="9"/>
        <v>-0.20918152463849501</v>
      </c>
      <c r="AC18" s="240">
        <f t="shared" si="10"/>
        <v>-0.48855819177312926</v>
      </c>
      <c r="AD18" s="240">
        <f t="shared" si="11"/>
        <v>3.2184472834479854</v>
      </c>
      <c r="AE18" s="240">
        <f t="shared" si="12"/>
        <v>2.8171921921921923</v>
      </c>
      <c r="AF18" s="240">
        <f t="shared" si="13"/>
        <v>1.4789789789789791</v>
      </c>
      <c r="AG18" s="240">
        <f t="shared" si="14"/>
        <v>2.0933433433433435</v>
      </c>
      <c r="AH18" s="242">
        <f t="shared" si="15"/>
        <v>1.6974064285517205</v>
      </c>
      <c r="AI18" s="242">
        <f t="shared" si="16"/>
        <v>20.368877142620647</v>
      </c>
      <c r="AL18" s="241">
        <v>1</v>
      </c>
      <c r="AM18" s="240">
        <f t="shared" si="17"/>
        <v>1.6974064285517205</v>
      </c>
      <c r="AO18" s="233">
        <f t="shared" si="18"/>
        <v>0</v>
      </c>
      <c r="AQ18" s="233">
        <f t="shared" si="18"/>
        <v>0</v>
      </c>
      <c r="AS18" s="233">
        <f t="shared" si="0"/>
        <v>0</v>
      </c>
    </row>
    <row r="19" spans="2:45" s="241" customFormat="1" ht="12" customHeight="1" x14ac:dyDescent="0.2">
      <c r="B19" s="250" t="s">
        <v>419</v>
      </c>
      <c r="C19" s="232" t="s">
        <v>428</v>
      </c>
      <c r="D19" s="238">
        <v>7.12</v>
      </c>
      <c r="E19" s="238">
        <v>7.12</v>
      </c>
      <c r="F19" s="238">
        <v>7.8979999999999988</v>
      </c>
      <c r="G19" s="238"/>
      <c r="H19" s="233">
        <v>46853.915000000001</v>
      </c>
      <c r="I19" s="233">
        <v>46816.415000000001</v>
      </c>
      <c r="J19" s="233">
        <v>51396.03</v>
      </c>
      <c r="K19" s="233">
        <v>51241.654999999992</v>
      </c>
      <c r="L19" s="233">
        <v>57155.950000000004</v>
      </c>
      <c r="M19" s="233">
        <v>57020.155000000006</v>
      </c>
      <c r="N19" s="233">
        <v>61781.440000000002</v>
      </c>
      <c r="O19" s="240">
        <v>61553.08</v>
      </c>
      <c r="P19" s="240">
        <v>68022.694999999992</v>
      </c>
      <c r="Q19" s="240">
        <v>67684.315000000002</v>
      </c>
      <c r="R19" s="240">
        <v>73871.334999999977</v>
      </c>
      <c r="S19" s="240">
        <v>73687.45</v>
      </c>
      <c r="T19" s="240">
        <f t="shared" si="2"/>
        <v>717084.43499999994</v>
      </c>
      <c r="V19" s="240">
        <f t="shared" si="3"/>
        <v>6580.6060393258431</v>
      </c>
      <c r="W19" s="240">
        <f t="shared" si="4"/>
        <v>6575.339185393258</v>
      </c>
      <c r="X19" s="240">
        <f t="shared" si="5"/>
        <v>7218.5435393258422</v>
      </c>
      <c r="Y19" s="240">
        <f t="shared" si="6"/>
        <v>7196.8616573033696</v>
      </c>
      <c r="Z19" s="240">
        <f t="shared" si="7"/>
        <v>8027.5210674157306</v>
      </c>
      <c r="AA19" s="240">
        <f t="shared" si="8"/>
        <v>8008.4487359550567</v>
      </c>
      <c r="AB19" s="240">
        <f t="shared" si="9"/>
        <v>8677.1685393258431</v>
      </c>
      <c r="AC19" s="240">
        <f t="shared" si="10"/>
        <v>8645.0955056179773</v>
      </c>
      <c r="AD19" s="240">
        <f t="shared" si="11"/>
        <v>9553.7492977528073</v>
      </c>
      <c r="AE19" s="240">
        <f t="shared" si="12"/>
        <v>8569.8043808559141</v>
      </c>
      <c r="AF19" s="240">
        <f t="shared" si="13"/>
        <v>9353.1697898202056</v>
      </c>
      <c r="AG19" s="240">
        <f t="shared" si="14"/>
        <v>9329.8873132438603</v>
      </c>
      <c r="AH19" s="242">
        <f t="shared" si="15"/>
        <v>8144.6829209446414</v>
      </c>
      <c r="AI19" s="242">
        <f t="shared" si="16"/>
        <v>97736.195051335701</v>
      </c>
      <c r="AL19" s="241">
        <v>1</v>
      </c>
      <c r="AM19" s="240">
        <f t="shared" si="17"/>
        <v>8144.6829209446414</v>
      </c>
      <c r="AO19" s="233">
        <f t="shared" si="18"/>
        <v>0</v>
      </c>
      <c r="AQ19" s="233">
        <f t="shared" si="18"/>
        <v>0</v>
      </c>
      <c r="AS19" s="233">
        <f t="shared" si="0"/>
        <v>0</v>
      </c>
    </row>
    <row r="20" spans="2:45" s="241" customFormat="1" ht="12" customHeight="1" x14ac:dyDescent="0.2">
      <c r="B20" s="250" t="s">
        <v>1258</v>
      </c>
      <c r="C20" s="232" t="s">
        <v>1259</v>
      </c>
      <c r="D20" s="238">
        <v>8.44</v>
      </c>
      <c r="E20" s="238">
        <v>8.44</v>
      </c>
      <c r="F20" s="238">
        <v>0</v>
      </c>
      <c r="G20" s="238"/>
      <c r="H20" s="233">
        <v>0</v>
      </c>
      <c r="I20" s="233">
        <v>0</v>
      </c>
      <c r="J20" s="233">
        <v>0</v>
      </c>
      <c r="K20" s="233">
        <v>0</v>
      </c>
      <c r="L20" s="233">
        <v>0</v>
      </c>
      <c r="M20" s="233">
        <v>0</v>
      </c>
      <c r="N20" s="233">
        <v>-4.92</v>
      </c>
      <c r="O20" s="240">
        <v>0</v>
      </c>
      <c r="P20" s="240">
        <v>0</v>
      </c>
      <c r="Q20" s="240">
        <v>0</v>
      </c>
      <c r="R20" s="240">
        <v>-6.78</v>
      </c>
      <c r="S20" s="240">
        <v>0</v>
      </c>
      <c r="T20" s="240">
        <f t="shared" si="2"/>
        <v>-11.7</v>
      </c>
      <c r="V20" s="240">
        <f t="shared" si="3"/>
        <v>0</v>
      </c>
      <c r="W20" s="240">
        <f t="shared" si="4"/>
        <v>0</v>
      </c>
      <c r="X20" s="240">
        <f t="shared" si="5"/>
        <v>0</v>
      </c>
      <c r="Y20" s="240">
        <f t="shared" si="6"/>
        <v>0</v>
      </c>
      <c r="Z20" s="240">
        <f t="shared" si="7"/>
        <v>0</v>
      </c>
      <c r="AA20" s="240">
        <f t="shared" si="8"/>
        <v>0</v>
      </c>
      <c r="AB20" s="240">
        <f t="shared" si="9"/>
        <v>-0.58293838862559244</v>
      </c>
      <c r="AC20" s="240">
        <f t="shared" si="10"/>
        <v>0</v>
      </c>
      <c r="AD20" s="240">
        <f t="shared" si="11"/>
        <v>0</v>
      </c>
      <c r="AE20" s="240">
        <f t="shared" si="12"/>
        <v>0</v>
      </c>
      <c r="AF20" s="240">
        <f t="shared" si="13"/>
        <v>0</v>
      </c>
      <c r="AG20" s="240">
        <f t="shared" si="14"/>
        <v>0</v>
      </c>
      <c r="AH20" s="242">
        <f>+IFERROR(AVERAGE(V20:AG20),0)</f>
        <v>-4.8578199052132703E-2</v>
      </c>
      <c r="AI20" s="242">
        <f t="shared" si="16"/>
        <v>-0.58293838862559244</v>
      </c>
      <c r="AL20" s="241">
        <v>1</v>
      </c>
      <c r="AM20" s="240">
        <f t="shared" si="17"/>
        <v>-4.8578199052132703E-2</v>
      </c>
      <c r="AO20" s="233">
        <f t="shared" si="18"/>
        <v>0</v>
      </c>
      <c r="AQ20" s="233">
        <f t="shared" si="18"/>
        <v>0</v>
      </c>
      <c r="AS20" s="233">
        <f t="shared" si="0"/>
        <v>0</v>
      </c>
    </row>
    <row r="21" spans="2:45" s="241" customFormat="1" ht="12" customHeight="1" x14ac:dyDescent="0.2">
      <c r="B21" s="250" t="s">
        <v>1260</v>
      </c>
      <c r="C21" s="232" t="s">
        <v>1261</v>
      </c>
      <c r="D21" s="238">
        <v>8.44</v>
      </c>
      <c r="E21" s="238">
        <v>8.44</v>
      </c>
      <c r="F21" s="238">
        <v>0</v>
      </c>
      <c r="G21" s="238"/>
      <c r="H21" s="233">
        <v>0</v>
      </c>
      <c r="I21" s="233">
        <v>0</v>
      </c>
      <c r="J21" s="233">
        <v>0</v>
      </c>
      <c r="K21" s="233">
        <v>0</v>
      </c>
      <c r="L21" s="233">
        <v>0</v>
      </c>
      <c r="M21" s="233">
        <v>0</v>
      </c>
      <c r="N21" s="233">
        <v>0</v>
      </c>
      <c r="O21" s="240">
        <v>0</v>
      </c>
      <c r="P21" s="240">
        <v>0</v>
      </c>
      <c r="Q21" s="240">
        <v>0</v>
      </c>
      <c r="R21" s="240">
        <v>0</v>
      </c>
      <c r="S21" s="240">
        <v>0</v>
      </c>
      <c r="T21" s="240">
        <f t="shared" si="2"/>
        <v>0</v>
      </c>
      <c r="V21" s="240">
        <f t="shared" si="3"/>
        <v>0</v>
      </c>
      <c r="W21" s="240">
        <f t="shared" si="4"/>
        <v>0</v>
      </c>
      <c r="X21" s="240">
        <f t="shared" si="5"/>
        <v>0</v>
      </c>
      <c r="Y21" s="240">
        <f t="shared" si="6"/>
        <v>0</v>
      </c>
      <c r="Z21" s="240">
        <f t="shared" si="7"/>
        <v>0</v>
      </c>
      <c r="AA21" s="240">
        <f t="shared" si="8"/>
        <v>0</v>
      </c>
      <c r="AB21" s="240">
        <f t="shared" si="9"/>
        <v>0</v>
      </c>
      <c r="AC21" s="240">
        <f t="shared" si="10"/>
        <v>0</v>
      </c>
      <c r="AD21" s="240">
        <f t="shared" si="11"/>
        <v>0</v>
      </c>
      <c r="AE21" s="240">
        <f t="shared" si="12"/>
        <v>0</v>
      </c>
      <c r="AF21" s="240">
        <f t="shared" si="13"/>
        <v>0</v>
      </c>
      <c r="AG21" s="240">
        <f t="shared" si="14"/>
        <v>0</v>
      </c>
      <c r="AH21" s="242">
        <f>+IFERROR(AVERAGE(V21:AG21),0)</f>
        <v>0</v>
      </c>
      <c r="AI21" s="242">
        <f t="shared" si="16"/>
        <v>0</v>
      </c>
      <c r="AL21" s="241">
        <v>1</v>
      </c>
      <c r="AM21" s="240">
        <f t="shared" si="17"/>
        <v>0</v>
      </c>
      <c r="AO21" s="233">
        <f t="shared" si="18"/>
        <v>0</v>
      </c>
      <c r="AQ21" s="233">
        <f t="shared" si="18"/>
        <v>0</v>
      </c>
      <c r="AS21" s="233">
        <f t="shared" si="0"/>
        <v>0</v>
      </c>
    </row>
    <row r="22" spans="2:45" s="241" customFormat="1" ht="12" customHeight="1" x14ac:dyDescent="0.2">
      <c r="B22" s="250" t="s">
        <v>420</v>
      </c>
      <c r="C22" s="232" t="s">
        <v>429</v>
      </c>
      <c r="D22" s="238">
        <v>6.7583333333333329</v>
      </c>
      <c r="E22" s="238">
        <v>6.7583333333333329</v>
      </c>
      <c r="F22" s="238">
        <v>7.4866666666666672</v>
      </c>
      <c r="G22" s="238"/>
      <c r="H22" s="233">
        <v>1028.5999999999999</v>
      </c>
      <c r="I22" s="233">
        <v>1032.3</v>
      </c>
      <c r="J22" s="233">
        <v>1045.25</v>
      </c>
      <c r="K22" s="233">
        <v>1045.25</v>
      </c>
      <c r="L22" s="233">
        <v>1054.5</v>
      </c>
      <c r="M22" s="233">
        <v>1054.5</v>
      </c>
      <c r="N22" s="233">
        <v>1028.5999999999999</v>
      </c>
      <c r="O22" s="240">
        <v>1021.1999999999999</v>
      </c>
      <c r="P22" s="240">
        <v>1035.45</v>
      </c>
      <c r="Q22" s="240">
        <v>1031.3500000000001</v>
      </c>
      <c r="R22" s="240">
        <v>1051.05</v>
      </c>
      <c r="S22" s="240">
        <v>1051.05</v>
      </c>
      <c r="T22" s="240">
        <f t="shared" si="2"/>
        <v>12479.1</v>
      </c>
      <c r="V22" s="240">
        <f t="shared" si="3"/>
        <v>152.19728729963009</v>
      </c>
      <c r="W22" s="240">
        <f t="shared" si="4"/>
        <v>152.74475955610359</v>
      </c>
      <c r="X22" s="240">
        <f t="shared" si="5"/>
        <v>154.6609124537608</v>
      </c>
      <c r="Y22" s="240">
        <f t="shared" si="6"/>
        <v>154.6609124537608</v>
      </c>
      <c r="Z22" s="240">
        <f t="shared" si="7"/>
        <v>156.02959309494452</v>
      </c>
      <c r="AA22" s="240">
        <f t="shared" si="8"/>
        <v>156.02959309494452</v>
      </c>
      <c r="AB22" s="240">
        <f t="shared" si="9"/>
        <v>152.19728729963009</v>
      </c>
      <c r="AC22" s="240">
        <f t="shared" si="10"/>
        <v>151.1023427866831</v>
      </c>
      <c r="AD22" s="240">
        <f t="shared" si="11"/>
        <v>153.21085080147967</v>
      </c>
      <c r="AE22" s="240">
        <f t="shared" si="12"/>
        <v>137.75823686553875</v>
      </c>
      <c r="AF22" s="240">
        <f t="shared" si="13"/>
        <v>140.38958147818343</v>
      </c>
      <c r="AG22" s="240">
        <f t="shared" si="14"/>
        <v>140.38958147818343</v>
      </c>
      <c r="AH22" s="242">
        <f t="shared" si="15"/>
        <v>150.1142448885702</v>
      </c>
      <c r="AI22" s="242">
        <f t="shared" si="16"/>
        <v>1801.3709386628425</v>
      </c>
      <c r="AL22" s="241">
        <v>1</v>
      </c>
      <c r="AM22" s="240">
        <f t="shared" si="17"/>
        <v>150.1142448885702</v>
      </c>
      <c r="AO22" s="233">
        <f t="shared" si="18"/>
        <v>0</v>
      </c>
      <c r="AQ22" s="233">
        <f t="shared" si="18"/>
        <v>0</v>
      </c>
      <c r="AS22" s="233">
        <f t="shared" si="0"/>
        <v>0</v>
      </c>
    </row>
    <row r="23" spans="2:45" s="241" customFormat="1" ht="12" customHeight="1" x14ac:dyDescent="0.2">
      <c r="B23" s="250" t="s">
        <v>421</v>
      </c>
      <c r="C23" s="232" t="s">
        <v>430</v>
      </c>
      <c r="D23" s="238">
        <v>6.7225000000000001</v>
      </c>
      <c r="E23" s="238">
        <v>6.7225000000000001</v>
      </c>
      <c r="F23" s="238">
        <v>7.4474999999999998</v>
      </c>
      <c r="G23" s="238"/>
      <c r="H23" s="233">
        <v>91856.709999999992</v>
      </c>
      <c r="I23" s="233">
        <v>91566.7</v>
      </c>
      <c r="J23" s="233">
        <v>92617.095000000001</v>
      </c>
      <c r="K23" s="233">
        <v>92377.785000000003</v>
      </c>
      <c r="L23" s="233">
        <v>93071.134999999995</v>
      </c>
      <c r="M23" s="233">
        <v>92720.955000000002</v>
      </c>
      <c r="N23" s="233">
        <v>93326.950000000012</v>
      </c>
      <c r="O23" s="240">
        <v>92965.69</v>
      </c>
      <c r="P23" s="240">
        <v>95855.75</v>
      </c>
      <c r="Q23" s="240">
        <v>95416.170000000013</v>
      </c>
      <c r="R23" s="240">
        <v>97989.7</v>
      </c>
      <c r="S23" s="240">
        <v>97810.78</v>
      </c>
      <c r="T23" s="240">
        <f t="shared" si="2"/>
        <v>1127575.42</v>
      </c>
      <c r="V23" s="240">
        <f t="shared" si="3"/>
        <v>13664.069914466343</v>
      </c>
      <c r="W23" s="240">
        <f t="shared" si="4"/>
        <v>13620.929713648196</v>
      </c>
      <c r="X23" s="240">
        <f t="shared" si="5"/>
        <v>13777.18036444775</v>
      </c>
      <c r="Y23" s="240">
        <f t="shared" si="6"/>
        <v>13741.582000743771</v>
      </c>
      <c r="Z23" s="240">
        <f t="shared" si="7"/>
        <v>13844.720714020081</v>
      </c>
      <c r="AA23" s="240">
        <f t="shared" si="8"/>
        <v>13792.629973968018</v>
      </c>
      <c r="AB23" s="240">
        <f t="shared" si="9"/>
        <v>13882.774265526219</v>
      </c>
      <c r="AC23" s="240">
        <f t="shared" si="10"/>
        <v>13829.035329118631</v>
      </c>
      <c r="AD23" s="240">
        <f t="shared" si="11"/>
        <v>14258.943845295649</v>
      </c>
      <c r="AE23" s="240">
        <f t="shared" si="12"/>
        <v>12811.838872104736</v>
      </c>
      <c r="AF23" s="240">
        <f t="shared" si="13"/>
        <v>13157.395099026518</v>
      </c>
      <c r="AG23" s="240">
        <f t="shared" si="14"/>
        <v>13133.370929842229</v>
      </c>
      <c r="AH23" s="242">
        <f>+IFERROR(AVERAGE(V23:AG23),0)</f>
        <v>13626.205918517344</v>
      </c>
      <c r="AI23" s="242">
        <f t="shared" si="16"/>
        <v>163514.47102220813</v>
      </c>
      <c r="AL23" s="241">
        <v>1</v>
      </c>
      <c r="AM23" s="240">
        <f t="shared" si="17"/>
        <v>13626.205918517344</v>
      </c>
      <c r="AO23" s="233">
        <f t="shared" si="18"/>
        <v>0</v>
      </c>
      <c r="AQ23" s="233">
        <f t="shared" si="18"/>
        <v>0</v>
      </c>
      <c r="AS23" s="233">
        <f t="shared" si="0"/>
        <v>0</v>
      </c>
    </row>
    <row r="24" spans="2:45" s="241" customFormat="1" ht="12" customHeight="1" x14ac:dyDescent="0.2">
      <c r="B24" s="250" t="s">
        <v>682</v>
      </c>
      <c r="C24" s="232" t="s">
        <v>683</v>
      </c>
      <c r="D24" s="238">
        <v>6.7620000000000005</v>
      </c>
      <c r="E24" s="238">
        <v>6.7620000000000005</v>
      </c>
      <c r="F24" s="238">
        <v>7.992</v>
      </c>
      <c r="G24" s="238"/>
      <c r="H24" s="233">
        <v>5018.0599999999995</v>
      </c>
      <c r="I24" s="233">
        <v>5007.62</v>
      </c>
      <c r="J24" s="233">
        <v>4979.1599999999989</v>
      </c>
      <c r="K24" s="233">
        <v>4390.8100000000004</v>
      </c>
      <c r="L24" s="233">
        <v>3174.45</v>
      </c>
      <c r="M24" s="233">
        <v>2972.59</v>
      </c>
      <c r="N24" s="233">
        <v>2899.52</v>
      </c>
      <c r="O24" s="240">
        <v>2880.32</v>
      </c>
      <c r="P24" s="240">
        <v>2894</v>
      </c>
      <c r="Q24" s="240">
        <v>3032.9500000000003</v>
      </c>
      <c r="R24" s="240">
        <v>3021.25</v>
      </c>
      <c r="S24" s="240">
        <v>3026.3399999999997</v>
      </c>
      <c r="T24" s="240">
        <f t="shared" si="2"/>
        <v>43297.069999999992</v>
      </c>
      <c r="V24" s="240">
        <f t="shared" si="3"/>
        <v>742.0970127181306</v>
      </c>
      <c r="W24" s="240">
        <f t="shared" si="4"/>
        <v>740.55309080153791</v>
      </c>
      <c r="X24" s="240">
        <f t="shared" si="5"/>
        <v>736.34427684117099</v>
      </c>
      <c r="Y24" s="240">
        <f t="shared" si="6"/>
        <v>649.33599526767227</v>
      </c>
      <c r="Z24" s="240">
        <f t="shared" si="7"/>
        <v>469.45430346051461</v>
      </c>
      <c r="AA24" s="240">
        <f t="shared" si="8"/>
        <v>439.60218870156757</v>
      </c>
      <c r="AB24" s="240">
        <f t="shared" si="9"/>
        <v>428.796214137829</v>
      </c>
      <c r="AC24" s="240">
        <f t="shared" si="10"/>
        <v>425.95681750961256</v>
      </c>
      <c r="AD24" s="240">
        <f t="shared" si="11"/>
        <v>427.97988760721677</v>
      </c>
      <c r="AE24" s="240">
        <f t="shared" si="12"/>
        <v>379.49824824824827</v>
      </c>
      <c r="AF24" s="240">
        <f t="shared" si="13"/>
        <v>378.0342842842843</v>
      </c>
      <c r="AG24" s="240">
        <f t="shared" si="14"/>
        <v>378.67117117117112</v>
      </c>
      <c r="AH24" s="242">
        <f>+IFERROR(AVERAGE(V24:AG24),0)</f>
        <v>516.3602908957464</v>
      </c>
      <c r="AI24" s="242">
        <f t="shared" si="16"/>
        <v>6196.3234907489568</v>
      </c>
      <c r="AL24" s="241">
        <v>1</v>
      </c>
      <c r="AM24" s="240">
        <f t="shared" si="17"/>
        <v>516.3602908957464</v>
      </c>
      <c r="AO24" s="233">
        <f t="shared" si="18"/>
        <v>0</v>
      </c>
      <c r="AQ24" s="233">
        <f t="shared" si="18"/>
        <v>0</v>
      </c>
      <c r="AS24" s="233">
        <f t="shared" si="0"/>
        <v>0</v>
      </c>
    </row>
    <row r="25" spans="2:45" s="241" customFormat="1" ht="12" customHeight="1" x14ac:dyDescent="0.2">
      <c r="B25" s="250" t="s">
        <v>1226</v>
      </c>
      <c r="C25" s="232" t="s">
        <v>1227</v>
      </c>
      <c r="D25" s="238">
        <v>8.51</v>
      </c>
      <c r="E25" s="238">
        <v>8.51</v>
      </c>
      <c r="F25" s="238">
        <v>9.4600000000000009</v>
      </c>
      <c r="G25" s="233"/>
      <c r="H25" s="233">
        <v>158.4</v>
      </c>
      <c r="I25" s="233">
        <v>158.4</v>
      </c>
      <c r="J25" s="233">
        <v>158.4</v>
      </c>
      <c r="K25" s="233">
        <v>158.4</v>
      </c>
      <c r="L25" s="233">
        <v>156.19999999999999</v>
      </c>
      <c r="M25" s="233">
        <v>156.19999999999999</v>
      </c>
      <c r="N25" s="233">
        <v>158.4</v>
      </c>
      <c r="O25" s="240">
        <v>158.4</v>
      </c>
      <c r="P25" s="240">
        <v>164.34</v>
      </c>
      <c r="Q25" s="240">
        <v>159.61000000000001</v>
      </c>
      <c r="R25" s="240">
        <v>170.28</v>
      </c>
      <c r="S25" s="240">
        <v>170.28</v>
      </c>
      <c r="T25" s="240">
        <f>SUM(H25:S25)</f>
        <v>1927.31</v>
      </c>
      <c r="V25" s="240">
        <f t="shared" si="3"/>
        <v>18.613396004700352</v>
      </c>
      <c r="W25" s="240">
        <f t="shared" si="4"/>
        <v>18.613396004700352</v>
      </c>
      <c r="X25" s="240">
        <f t="shared" si="5"/>
        <v>18.613396004700352</v>
      </c>
      <c r="Y25" s="240">
        <f t="shared" si="6"/>
        <v>18.613396004700352</v>
      </c>
      <c r="Z25" s="240">
        <f t="shared" si="7"/>
        <v>18.354876615746178</v>
      </c>
      <c r="AA25" s="240">
        <f t="shared" si="8"/>
        <v>18.354876615746178</v>
      </c>
      <c r="AB25" s="240">
        <f t="shared" si="9"/>
        <v>18.613396004700352</v>
      </c>
      <c r="AC25" s="240">
        <f t="shared" si="10"/>
        <v>18.613396004700352</v>
      </c>
      <c r="AD25" s="240">
        <f t="shared" si="11"/>
        <v>19.311398354876616</v>
      </c>
      <c r="AE25" s="240">
        <f t="shared" si="12"/>
        <v>16.872093023255815</v>
      </c>
      <c r="AF25" s="240">
        <f t="shared" si="13"/>
        <v>18</v>
      </c>
      <c r="AG25" s="240">
        <f t="shared" si="14"/>
        <v>18</v>
      </c>
      <c r="AH25" s="242">
        <f>+IFERROR(AVERAGE(V25:AG25),0)</f>
        <v>18.381135053152242</v>
      </c>
      <c r="AI25" s="242">
        <f t="shared" si="16"/>
        <v>220.57362063782691</v>
      </c>
    </row>
    <row r="26" spans="2:45" s="241" customFormat="1" ht="12" customHeight="1" x14ac:dyDescent="0.2">
      <c r="B26" s="250" t="s">
        <v>1297</v>
      </c>
      <c r="C26" s="232" t="s">
        <v>1298</v>
      </c>
      <c r="D26" s="238">
        <v>10</v>
      </c>
      <c r="E26" s="238">
        <v>10</v>
      </c>
      <c r="F26" s="238">
        <v>12</v>
      </c>
      <c r="G26" s="238"/>
      <c r="H26" s="233">
        <v>2640</v>
      </c>
      <c r="I26" s="233">
        <v>2595</v>
      </c>
      <c r="J26" s="233">
        <v>2675</v>
      </c>
      <c r="K26" s="233">
        <v>2705</v>
      </c>
      <c r="L26" s="233">
        <v>2905</v>
      </c>
      <c r="M26" s="233">
        <v>2710</v>
      </c>
      <c r="N26" s="233">
        <v>2935</v>
      </c>
      <c r="O26" s="240">
        <v>2900</v>
      </c>
      <c r="P26" s="240">
        <v>3381.25</v>
      </c>
      <c r="Q26" s="240">
        <v>3298.75</v>
      </c>
      <c r="R26" s="240">
        <v>3904.5</v>
      </c>
      <c r="S26" s="240">
        <v>3851.5</v>
      </c>
      <c r="T26" s="240">
        <f t="shared" si="2"/>
        <v>36501</v>
      </c>
      <c r="V26" s="240">
        <f t="shared" si="3"/>
        <v>264</v>
      </c>
      <c r="W26" s="240">
        <f t="shared" si="4"/>
        <v>259.5</v>
      </c>
      <c r="X26" s="240">
        <f t="shared" si="5"/>
        <v>267.5</v>
      </c>
      <c r="Y26" s="240">
        <f t="shared" si="6"/>
        <v>270.5</v>
      </c>
      <c r="Z26" s="240">
        <f t="shared" si="7"/>
        <v>290.5</v>
      </c>
      <c r="AA26" s="240">
        <f t="shared" si="8"/>
        <v>271</v>
      </c>
      <c r="AB26" s="240">
        <f t="shared" si="9"/>
        <v>293.5</v>
      </c>
      <c r="AC26" s="240">
        <f t="shared" si="10"/>
        <v>290</v>
      </c>
      <c r="AD26" s="240">
        <f t="shared" si="11"/>
        <v>338.125</v>
      </c>
      <c r="AE26" s="240">
        <f t="shared" si="12"/>
        <v>274.89583333333331</v>
      </c>
      <c r="AF26" s="240">
        <f t="shared" si="13"/>
        <v>325.375</v>
      </c>
      <c r="AG26" s="240">
        <f t="shared" si="14"/>
        <v>320.95833333333331</v>
      </c>
      <c r="AH26" s="242">
        <f>+IFERROR(AVERAGE(V26:AG26),0)</f>
        <v>288.8211805555556</v>
      </c>
      <c r="AI26" s="242">
        <f t="shared" si="16"/>
        <v>3465.854166666667</v>
      </c>
      <c r="AL26" s="241">
        <v>0</v>
      </c>
      <c r="AM26" s="240">
        <f t="shared" si="17"/>
        <v>0</v>
      </c>
      <c r="AO26" s="233">
        <f t="shared" si="18"/>
        <v>0</v>
      </c>
      <c r="AQ26" s="233">
        <f t="shared" si="18"/>
        <v>0</v>
      </c>
      <c r="AR26" s="241">
        <v>1</v>
      </c>
      <c r="AS26" s="233">
        <f>+$AH26*AR26</f>
        <v>288.8211805555556</v>
      </c>
    </row>
    <row r="27" spans="2:45" ht="12" customHeight="1" x14ac:dyDescent="0.2">
      <c r="B27" s="61" t="s">
        <v>1295</v>
      </c>
      <c r="C27" s="58" t="s">
        <v>1296</v>
      </c>
      <c r="D27" s="11">
        <v>1</v>
      </c>
      <c r="E27" s="11">
        <v>1</v>
      </c>
      <c r="F27" s="11">
        <v>2</v>
      </c>
      <c r="G27" s="11"/>
      <c r="H27" s="12">
        <v>0</v>
      </c>
      <c r="I27" s="12">
        <v>0</v>
      </c>
      <c r="J27" s="12">
        <v>0</v>
      </c>
      <c r="K27" s="12">
        <v>0</v>
      </c>
      <c r="L27" s="12">
        <v>0</v>
      </c>
      <c r="M27" s="12">
        <v>0</v>
      </c>
      <c r="N27" s="12">
        <v>0</v>
      </c>
      <c r="O27" s="13">
        <v>0</v>
      </c>
      <c r="P27" s="13">
        <v>0</v>
      </c>
      <c r="Q27" s="13">
        <v>0</v>
      </c>
      <c r="R27" s="13">
        <v>2</v>
      </c>
      <c r="S27" s="13">
        <v>0</v>
      </c>
      <c r="T27" s="13">
        <f t="shared" si="2"/>
        <v>2</v>
      </c>
      <c r="V27" s="13">
        <f t="shared" si="3"/>
        <v>0</v>
      </c>
      <c r="W27" s="13">
        <f t="shared" si="4"/>
        <v>0</v>
      </c>
      <c r="X27" s="13">
        <f t="shared" si="5"/>
        <v>0</v>
      </c>
      <c r="Y27" s="13">
        <f t="shared" si="6"/>
        <v>0</v>
      </c>
      <c r="Z27" s="13">
        <f t="shared" si="7"/>
        <v>0</v>
      </c>
      <c r="AA27" s="13">
        <f t="shared" si="8"/>
        <v>0</v>
      </c>
      <c r="AB27" s="13">
        <f t="shared" si="9"/>
        <v>0</v>
      </c>
      <c r="AC27" s="13">
        <f t="shared" si="10"/>
        <v>0</v>
      </c>
      <c r="AD27" s="13">
        <f t="shared" si="11"/>
        <v>0</v>
      </c>
      <c r="AE27" s="13">
        <f t="shared" si="12"/>
        <v>0</v>
      </c>
      <c r="AF27" s="13">
        <f t="shared" si="13"/>
        <v>1</v>
      </c>
      <c r="AG27" s="13">
        <f t="shared" si="14"/>
        <v>0</v>
      </c>
      <c r="AH27" s="15">
        <f t="shared" ref="AH27:AH36" si="19">+IFERROR(AVERAGE(V27:AG27),0)</f>
        <v>8.3333333333333329E-2</v>
      </c>
      <c r="AI27" s="15">
        <f t="shared" ref="AI27:AI36" si="20">+SUM(V27:AG27)</f>
        <v>1</v>
      </c>
    </row>
    <row r="28" spans="2:45" ht="12" customHeight="1" x14ac:dyDescent="0.2">
      <c r="B28" s="61" t="s">
        <v>1316</v>
      </c>
      <c r="C28" s="58" t="s">
        <v>1317</v>
      </c>
      <c r="D28" s="11">
        <v>8</v>
      </c>
      <c r="E28" s="11">
        <v>8</v>
      </c>
      <c r="F28" s="11">
        <v>10</v>
      </c>
      <c r="G28" s="11"/>
      <c r="H28" s="12">
        <v>0</v>
      </c>
      <c r="I28" s="12">
        <v>0</v>
      </c>
      <c r="J28" s="12">
        <v>0</v>
      </c>
      <c r="K28" s="12">
        <v>0</v>
      </c>
      <c r="L28" s="12">
        <v>0</v>
      </c>
      <c r="M28" s="12">
        <v>0</v>
      </c>
      <c r="N28" s="12">
        <v>0</v>
      </c>
      <c r="O28" s="13">
        <v>0</v>
      </c>
      <c r="P28" s="13">
        <v>0</v>
      </c>
      <c r="Q28" s="13">
        <v>0</v>
      </c>
      <c r="R28" s="13">
        <v>0</v>
      </c>
      <c r="S28" s="13">
        <v>0</v>
      </c>
      <c r="T28" s="13">
        <f t="shared" si="2"/>
        <v>0</v>
      </c>
      <c r="V28" s="13">
        <f t="shared" si="3"/>
        <v>0</v>
      </c>
      <c r="W28" s="13">
        <f t="shared" si="4"/>
        <v>0</v>
      </c>
      <c r="X28" s="13">
        <f t="shared" si="5"/>
        <v>0</v>
      </c>
      <c r="Y28" s="13">
        <f t="shared" si="6"/>
        <v>0</v>
      </c>
      <c r="Z28" s="13">
        <f t="shared" si="7"/>
        <v>0</v>
      </c>
      <c r="AA28" s="13">
        <f t="shared" si="8"/>
        <v>0</v>
      </c>
      <c r="AB28" s="13">
        <f t="shared" si="9"/>
        <v>0</v>
      </c>
      <c r="AC28" s="13">
        <f t="shared" si="10"/>
        <v>0</v>
      </c>
      <c r="AD28" s="13">
        <f t="shared" si="11"/>
        <v>0</v>
      </c>
      <c r="AE28" s="13">
        <f t="shared" si="12"/>
        <v>0</v>
      </c>
      <c r="AF28" s="13">
        <f t="shared" si="13"/>
        <v>0</v>
      </c>
      <c r="AG28" s="13">
        <f t="shared" si="14"/>
        <v>0</v>
      </c>
      <c r="AH28" s="15">
        <f t="shared" si="19"/>
        <v>0</v>
      </c>
      <c r="AI28" s="15">
        <f t="shared" si="20"/>
        <v>0</v>
      </c>
    </row>
    <row r="29" spans="2:45" ht="12" customHeight="1" x14ac:dyDescent="0.2">
      <c r="B29" s="61" t="s">
        <v>1182</v>
      </c>
      <c r="C29" s="58" t="s">
        <v>1366</v>
      </c>
      <c r="D29" s="11">
        <v>2.64</v>
      </c>
      <c r="E29" s="11">
        <v>2.64</v>
      </c>
      <c r="F29" s="11">
        <v>3.464</v>
      </c>
      <c r="G29" s="12"/>
      <c r="H29" s="12">
        <v>76626.065000000002</v>
      </c>
      <c r="I29" s="12">
        <v>76388.425000000003</v>
      </c>
      <c r="J29" s="12">
        <v>77081.89499999999</v>
      </c>
      <c r="K29" s="12">
        <v>76851.375000000015</v>
      </c>
      <c r="L29" s="12">
        <v>77772.875</v>
      </c>
      <c r="M29" s="12">
        <v>77518.795000000027</v>
      </c>
      <c r="N29" s="12">
        <v>77925.259999999995</v>
      </c>
      <c r="O29" s="13">
        <v>77657.87</v>
      </c>
      <c r="P29" s="13">
        <v>86771.22</v>
      </c>
      <c r="Q29" s="13">
        <v>86419.739999999991</v>
      </c>
      <c r="R29" s="13">
        <v>95580.535000000003</v>
      </c>
      <c r="S29" s="13">
        <v>95361.824999999997</v>
      </c>
      <c r="T29" s="13">
        <f t="shared" si="2"/>
        <v>981955.88</v>
      </c>
      <c r="V29" s="13">
        <f t="shared" si="3"/>
        <v>29025.02462121212</v>
      </c>
      <c r="W29" s="13">
        <f t="shared" si="4"/>
        <v>28935.009469696968</v>
      </c>
      <c r="X29" s="13">
        <f t="shared" si="5"/>
        <v>29197.687499999996</v>
      </c>
      <c r="Y29" s="13">
        <f t="shared" si="6"/>
        <v>29110.369318181823</v>
      </c>
      <c r="Z29" s="13">
        <f t="shared" si="7"/>
        <v>29459.422348484848</v>
      </c>
      <c r="AA29" s="13">
        <f t="shared" si="8"/>
        <v>29363.179924242435</v>
      </c>
      <c r="AB29" s="13">
        <f t="shared" si="9"/>
        <v>29517.143939393936</v>
      </c>
      <c r="AC29" s="13">
        <f t="shared" si="10"/>
        <v>29415.859848484844</v>
      </c>
      <c r="AD29" s="13">
        <f t="shared" si="11"/>
        <v>32867.88636363636</v>
      </c>
      <c r="AE29" s="13">
        <f t="shared" si="12"/>
        <v>24947.96189376443</v>
      </c>
      <c r="AF29" s="13">
        <f t="shared" si="13"/>
        <v>27592.533198614321</v>
      </c>
      <c r="AG29" s="13">
        <f t="shared" si="14"/>
        <v>27529.395207852194</v>
      </c>
      <c r="AH29" s="15">
        <f t="shared" si="19"/>
        <v>28913.456136130353</v>
      </c>
      <c r="AI29" s="15">
        <f t="shared" si="20"/>
        <v>346961.47363356425</v>
      </c>
    </row>
    <row r="30" spans="2:45" ht="12" customHeight="1" x14ac:dyDescent="0.2">
      <c r="B30" s="61" t="s">
        <v>1225</v>
      </c>
      <c r="C30" s="58" t="s">
        <v>1367</v>
      </c>
      <c r="D30" s="11">
        <v>0</v>
      </c>
      <c r="E30" s="11">
        <v>0</v>
      </c>
      <c r="F30" s="11">
        <v>0</v>
      </c>
      <c r="G30" s="12"/>
      <c r="H30" s="12">
        <v>3.7749999999999999</v>
      </c>
      <c r="I30" s="12">
        <v>-0.99000000000000021</v>
      </c>
      <c r="J30" s="12">
        <v>8.0400000000000009</v>
      </c>
      <c r="K30" s="12">
        <v>8.0900000000000016</v>
      </c>
      <c r="L30" s="12">
        <v>-16.46</v>
      </c>
      <c r="M30" s="12">
        <v>0.39500000000000002</v>
      </c>
      <c r="N30" s="12">
        <v>1.55</v>
      </c>
      <c r="O30" s="13">
        <v>-1.2300000000000002</v>
      </c>
      <c r="P30" s="13">
        <v>1.5950000000000002</v>
      </c>
      <c r="Q30" s="13">
        <v>-3.1049999999999995</v>
      </c>
      <c r="R30" s="13">
        <v>-1.7799999999999996</v>
      </c>
      <c r="S30" s="13">
        <v>-4.0000000000000202E-2</v>
      </c>
      <c r="T30" s="13">
        <f t="shared" si="2"/>
        <v>-0.15999999999999698</v>
      </c>
      <c r="V30" s="13">
        <f t="shared" si="3"/>
        <v>0</v>
      </c>
      <c r="W30" s="13">
        <f t="shared" si="4"/>
        <v>0</v>
      </c>
      <c r="X30" s="13">
        <f t="shared" si="5"/>
        <v>0</v>
      </c>
      <c r="Y30" s="13">
        <f t="shared" si="6"/>
        <v>0</v>
      </c>
      <c r="Z30" s="13">
        <f t="shared" si="7"/>
        <v>0</v>
      </c>
      <c r="AA30" s="13">
        <f t="shared" si="8"/>
        <v>0</v>
      </c>
      <c r="AB30" s="13">
        <f t="shared" si="9"/>
        <v>0</v>
      </c>
      <c r="AC30" s="13">
        <f t="shared" si="10"/>
        <v>0</v>
      </c>
      <c r="AD30" s="13">
        <f t="shared" si="11"/>
        <v>0</v>
      </c>
      <c r="AE30" s="13">
        <f t="shared" si="12"/>
        <v>0</v>
      </c>
      <c r="AF30" s="13">
        <f t="shared" si="13"/>
        <v>0</v>
      </c>
      <c r="AG30" s="13">
        <f t="shared" si="14"/>
        <v>0</v>
      </c>
      <c r="AH30" s="15">
        <f t="shared" si="19"/>
        <v>0</v>
      </c>
      <c r="AI30" s="15">
        <f t="shared" si="20"/>
        <v>0</v>
      </c>
    </row>
    <row r="31" spans="2:45" ht="12" customHeight="1" x14ac:dyDescent="0.2">
      <c r="B31" s="61" t="s">
        <v>1183</v>
      </c>
      <c r="C31" s="58" t="s">
        <v>1366</v>
      </c>
      <c r="D31" s="11">
        <v>1.32</v>
      </c>
      <c r="E31" s="11">
        <v>1.32</v>
      </c>
      <c r="F31" s="11">
        <v>1.732</v>
      </c>
      <c r="G31" s="12"/>
      <c r="H31" s="12">
        <v>738.29000000000008</v>
      </c>
      <c r="I31" s="12">
        <v>736.94</v>
      </c>
      <c r="J31" s="12">
        <v>732.13</v>
      </c>
      <c r="K31" s="12">
        <v>642.44000000000005</v>
      </c>
      <c r="L31" s="12">
        <v>455.78999999999996</v>
      </c>
      <c r="M31" s="12">
        <v>426.12</v>
      </c>
      <c r="N31" s="12">
        <v>417.31</v>
      </c>
      <c r="O31" s="13">
        <v>413.04</v>
      </c>
      <c r="P31" s="13">
        <v>413.83000000000004</v>
      </c>
      <c r="Q31" s="13">
        <v>495.05999999999995</v>
      </c>
      <c r="R31" s="13">
        <v>494.41999999999996</v>
      </c>
      <c r="S31" s="13">
        <v>494.42999999999995</v>
      </c>
      <c r="T31" s="13">
        <f t="shared" si="2"/>
        <v>6459.8000000000011</v>
      </c>
      <c r="V31" s="13">
        <f t="shared" si="3"/>
        <v>559.31060606060612</v>
      </c>
      <c r="W31" s="13">
        <f t="shared" si="4"/>
        <v>558.28787878787875</v>
      </c>
      <c r="X31" s="13">
        <f t="shared" si="5"/>
        <v>554.64393939393938</v>
      </c>
      <c r="Y31" s="13">
        <f t="shared" si="6"/>
        <v>486.69696969696969</v>
      </c>
      <c r="Z31" s="13">
        <f t="shared" si="7"/>
        <v>345.2954545454545</v>
      </c>
      <c r="AA31" s="13">
        <f t="shared" si="8"/>
        <v>322.81818181818181</v>
      </c>
      <c r="AB31" s="13">
        <f t="shared" si="9"/>
        <v>316.14393939393938</v>
      </c>
      <c r="AC31" s="13">
        <f t="shared" si="10"/>
        <v>312.90909090909093</v>
      </c>
      <c r="AD31" s="13">
        <f t="shared" si="11"/>
        <v>313.50757575757575</v>
      </c>
      <c r="AE31" s="13">
        <f t="shared" si="12"/>
        <v>285.83140877598152</v>
      </c>
      <c r="AF31" s="13">
        <f t="shared" si="13"/>
        <v>285.46189376443414</v>
      </c>
      <c r="AG31" s="13">
        <f t="shared" si="14"/>
        <v>285.46766743648959</v>
      </c>
      <c r="AH31" s="15">
        <f t="shared" si="19"/>
        <v>385.53121719504514</v>
      </c>
      <c r="AI31" s="15">
        <f t="shared" si="20"/>
        <v>4626.3746063405415</v>
      </c>
    </row>
    <row r="32" spans="2:45" ht="12" customHeight="1" x14ac:dyDescent="0.2">
      <c r="B32" s="61" t="s">
        <v>750</v>
      </c>
      <c r="C32" s="58" t="s">
        <v>775</v>
      </c>
      <c r="D32" s="11">
        <v>14.95</v>
      </c>
      <c r="E32" s="11">
        <v>14.95</v>
      </c>
      <c r="F32" s="11">
        <v>15</v>
      </c>
      <c r="G32" s="12"/>
      <c r="H32" s="12">
        <v>15</v>
      </c>
      <c r="I32" s="12">
        <v>15</v>
      </c>
      <c r="J32" s="12">
        <v>60</v>
      </c>
      <c r="K32" s="12">
        <v>45</v>
      </c>
      <c r="L32" s="12">
        <v>75</v>
      </c>
      <c r="M32" s="12">
        <v>195</v>
      </c>
      <c r="N32" s="12">
        <v>135</v>
      </c>
      <c r="O32" s="13">
        <v>180</v>
      </c>
      <c r="P32" s="13">
        <v>195</v>
      </c>
      <c r="Q32" s="13">
        <v>285</v>
      </c>
      <c r="R32" s="13">
        <v>270</v>
      </c>
      <c r="S32" s="13">
        <v>360</v>
      </c>
      <c r="T32" s="13">
        <f t="shared" si="2"/>
        <v>1830</v>
      </c>
      <c r="V32" s="13">
        <f t="shared" si="3"/>
        <v>1.0033444816053512</v>
      </c>
      <c r="W32" s="13">
        <f t="shared" si="4"/>
        <v>1.0033444816053512</v>
      </c>
      <c r="X32" s="13">
        <f t="shared" si="5"/>
        <v>4.0133779264214047</v>
      </c>
      <c r="Y32" s="13">
        <f t="shared" si="6"/>
        <v>3.0100334448160537</v>
      </c>
      <c r="Z32" s="13">
        <f t="shared" si="7"/>
        <v>5.0167224080267561</v>
      </c>
      <c r="AA32" s="13">
        <f t="shared" si="8"/>
        <v>13.043478260869566</v>
      </c>
      <c r="AB32" s="13">
        <f t="shared" si="9"/>
        <v>9.0301003344481607</v>
      </c>
      <c r="AC32" s="13">
        <f t="shared" si="10"/>
        <v>12.040133779264215</v>
      </c>
      <c r="AD32" s="13">
        <f t="shared" si="11"/>
        <v>13.043478260869566</v>
      </c>
      <c r="AE32" s="13">
        <f t="shared" si="12"/>
        <v>19</v>
      </c>
      <c r="AF32" s="13">
        <f t="shared" si="13"/>
        <v>18</v>
      </c>
      <c r="AG32" s="13">
        <f t="shared" si="14"/>
        <v>24</v>
      </c>
      <c r="AH32" s="15">
        <f t="shared" si="19"/>
        <v>10.183667781493869</v>
      </c>
      <c r="AI32" s="15">
        <f t="shared" si="20"/>
        <v>122.20401337792643</v>
      </c>
    </row>
    <row r="33" spans="2:45" ht="12" customHeight="1" x14ac:dyDescent="0.2">
      <c r="B33" s="61" t="s">
        <v>422</v>
      </c>
      <c r="C33" s="58" t="s">
        <v>431</v>
      </c>
      <c r="D33" s="11">
        <v>2.415</v>
      </c>
      <c r="E33" s="11">
        <v>2.415</v>
      </c>
      <c r="F33" s="11">
        <v>5.64</v>
      </c>
      <c r="G33" s="11"/>
      <c r="H33" s="12">
        <v>5.35</v>
      </c>
      <c r="I33" s="12">
        <v>0</v>
      </c>
      <c r="J33" s="12">
        <v>5.35</v>
      </c>
      <c r="K33" s="12">
        <v>0</v>
      </c>
      <c r="L33" s="12">
        <v>5.35</v>
      </c>
      <c r="M33" s="12">
        <v>0</v>
      </c>
      <c r="N33" s="12">
        <v>5.35</v>
      </c>
      <c r="O33" s="13">
        <v>0</v>
      </c>
      <c r="P33" s="13">
        <v>5.5</v>
      </c>
      <c r="Q33" s="13">
        <v>0</v>
      </c>
      <c r="R33" s="13">
        <v>5.64</v>
      </c>
      <c r="S33" s="13">
        <v>0</v>
      </c>
      <c r="T33" s="13">
        <f t="shared" si="2"/>
        <v>32.54</v>
      </c>
      <c r="V33" s="13">
        <f t="shared" si="3"/>
        <v>2.2153209109730847</v>
      </c>
      <c r="W33" s="13">
        <f t="shared" si="4"/>
        <v>0</v>
      </c>
      <c r="X33" s="13">
        <f t="shared" si="5"/>
        <v>2.2153209109730847</v>
      </c>
      <c r="Y33" s="13">
        <f t="shared" si="6"/>
        <v>0</v>
      </c>
      <c r="Z33" s="13">
        <f t="shared" si="7"/>
        <v>2.2153209109730847</v>
      </c>
      <c r="AA33" s="13">
        <f t="shared" si="8"/>
        <v>0</v>
      </c>
      <c r="AB33" s="13">
        <f t="shared" si="9"/>
        <v>2.2153209109730847</v>
      </c>
      <c r="AC33" s="13">
        <f t="shared" si="10"/>
        <v>0</v>
      </c>
      <c r="AD33" s="13">
        <f t="shared" si="11"/>
        <v>2.2774327122153211</v>
      </c>
      <c r="AE33" s="13">
        <f t="shared" si="12"/>
        <v>0</v>
      </c>
      <c r="AF33" s="13">
        <f t="shared" si="13"/>
        <v>1</v>
      </c>
      <c r="AG33" s="13">
        <f t="shared" si="14"/>
        <v>0</v>
      </c>
      <c r="AH33" s="15">
        <f t="shared" si="19"/>
        <v>1.011559696342305</v>
      </c>
      <c r="AI33" s="15">
        <f t="shared" si="20"/>
        <v>12.138716356107659</v>
      </c>
    </row>
    <row r="34" spans="2:45" ht="12" customHeight="1" x14ac:dyDescent="0.2">
      <c r="B34" s="61" t="s">
        <v>948</v>
      </c>
      <c r="C34" s="58" t="s">
        <v>950</v>
      </c>
      <c r="D34" s="11">
        <v>7.1230000000000002</v>
      </c>
      <c r="E34" s="11">
        <v>7.1230000000000002</v>
      </c>
      <c r="F34" s="11">
        <v>15.984</v>
      </c>
      <c r="G34" s="11"/>
      <c r="H34" s="12">
        <v>0</v>
      </c>
      <c r="I34" s="12">
        <v>0</v>
      </c>
      <c r="J34" s="12">
        <v>0</v>
      </c>
      <c r="K34" s="12">
        <v>0</v>
      </c>
      <c r="L34" s="12">
        <v>0</v>
      </c>
      <c r="M34" s="12">
        <v>0</v>
      </c>
      <c r="N34" s="12">
        <v>0</v>
      </c>
      <c r="O34" s="13">
        <v>0</v>
      </c>
      <c r="P34" s="13">
        <v>0</v>
      </c>
      <c r="Q34" s="13">
        <v>0</v>
      </c>
      <c r="R34" s="13">
        <v>0</v>
      </c>
      <c r="S34" s="13">
        <v>0</v>
      </c>
      <c r="T34" s="13">
        <f t="shared" si="2"/>
        <v>0</v>
      </c>
      <c r="V34" s="13">
        <f t="shared" si="3"/>
        <v>0</v>
      </c>
      <c r="W34" s="13">
        <f t="shared" si="4"/>
        <v>0</v>
      </c>
      <c r="X34" s="13">
        <f t="shared" si="5"/>
        <v>0</v>
      </c>
      <c r="Y34" s="13">
        <f t="shared" si="6"/>
        <v>0</v>
      </c>
      <c r="Z34" s="13">
        <f t="shared" si="7"/>
        <v>0</v>
      </c>
      <c r="AA34" s="13">
        <f t="shared" si="8"/>
        <v>0</v>
      </c>
      <c r="AB34" s="13">
        <f t="shared" si="9"/>
        <v>0</v>
      </c>
      <c r="AC34" s="13">
        <f t="shared" si="10"/>
        <v>0</v>
      </c>
      <c r="AD34" s="13">
        <f t="shared" si="11"/>
        <v>0</v>
      </c>
      <c r="AE34" s="13">
        <f t="shared" si="12"/>
        <v>0</v>
      </c>
      <c r="AF34" s="13">
        <f t="shared" si="13"/>
        <v>0</v>
      </c>
      <c r="AG34" s="13">
        <f t="shared" si="14"/>
        <v>0</v>
      </c>
      <c r="AH34" s="15">
        <f t="shared" si="19"/>
        <v>0</v>
      </c>
      <c r="AI34" s="15">
        <f t="shared" si="20"/>
        <v>0</v>
      </c>
    </row>
    <row r="35" spans="2:45" ht="12" customHeight="1" x14ac:dyDescent="0.2">
      <c r="B35" s="61" t="s">
        <v>423</v>
      </c>
      <c r="C35" s="58" t="s">
        <v>432</v>
      </c>
      <c r="D35" s="11">
        <v>3.8450000000000002</v>
      </c>
      <c r="E35" s="11">
        <v>3.8450000000000002</v>
      </c>
      <c r="F35" s="11">
        <v>8.9600000000000009</v>
      </c>
      <c r="G35" s="11"/>
      <c r="H35" s="12">
        <v>34.04</v>
      </c>
      <c r="I35" s="12">
        <v>0</v>
      </c>
      <c r="J35" s="12">
        <v>34.04</v>
      </c>
      <c r="K35" s="12">
        <v>0</v>
      </c>
      <c r="L35" s="12">
        <v>34.04</v>
      </c>
      <c r="M35" s="12">
        <v>0</v>
      </c>
      <c r="N35" s="12">
        <v>34.04</v>
      </c>
      <c r="O35" s="13">
        <v>0</v>
      </c>
      <c r="P35" s="13">
        <v>35.840000000000003</v>
      </c>
      <c r="Q35" s="13">
        <v>0</v>
      </c>
      <c r="R35" s="13">
        <v>31.36</v>
      </c>
      <c r="S35" s="13">
        <v>0</v>
      </c>
      <c r="T35" s="13">
        <f t="shared" si="2"/>
        <v>203.36</v>
      </c>
      <c r="V35" s="13">
        <f t="shared" si="3"/>
        <v>8.8530559167750322</v>
      </c>
      <c r="W35" s="13">
        <f t="shared" si="4"/>
        <v>0</v>
      </c>
      <c r="X35" s="13">
        <f t="shared" si="5"/>
        <v>8.8530559167750322</v>
      </c>
      <c r="Y35" s="13">
        <f t="shared" si="6"/>
        <v>0</v>
      </c>
      <c r="Z35" s="13">
        <f t="shared" si="7"/>
        <v>8.8530559167750322</v>
      </c>
      <c r="AA35" s="13">
        <f t="shared" si="8"/>
        <v>0</v>
      </c>
      <c r="AB35" s="13">
        <f t="shared" si="9"/>
        <v>8.8530559167750322</v>
      </c>
      <c r="AC35" s="13">
        <f t="shared" si="10"/>
        <v>0</v>
      </c>
      <c r="AD35" s="13">
        <f t="shared" si="11"/>
        <v>9.3211963589076721</v>
      </c>
      <c r="AE35" s="13">
        <f t="shared" si="12"/>
        <v>0</v>
      </c>
      <c r="AF35" s="13">
        <f t="shared" si="13"/>
        <v>3.4999999999999996</v>
      </c>
      <c r="AG35" s="13">
        <f t="shared" si="14"/>
        <v>0</v>
      </c>
      <c r="AH35" s="15">
        <f t="shared" si="19"/>
        <v>4.019451668833983</v>
      </c>
      <c r="AI35" s="15">
        <f t="shared" si="20"/>
        <v>48.233420026007799</v>
      </c>
    </row>
    <row r="36" spans="2:45" ht="12.75" x14ac:dyDescent="0.2">
      <c r="B36" s="58" t="s">
        <v>73</v>
      </c>
      <c r="C36" s="58" t="s">
        <v>105</v>
      </c>
      <c r="D36" s="11">
        <v>0</v>
      </c>
      <c r="E36" s="11">
        <v>0</v>
      </c>
      <c r="F36" s="11">
        <v>50</v>
      </c>
      <c r="G36" s="11"/>
      <c r="H36" s="12">
        <v>0</v>
      </c>
      <c r="I36" s="12">
        <v>854.71</v>
      </c>
      <c r="J36" s="12">
        <v>1158</v>
      </c>
      <c r="K36" s="12">
        <v>3543.8999999999996</v>
      </c>
      <c r="L36" s="12">
        <v>109.73</v>
      </c>
      <c r="M36" s="12">
        <v>834.91</v>
      </c>
      <c r="N36" s="12">
        <v>242.75</v>
      </c>
      <c r="O36" s="13">
        <v>140.35</v>
      </c>
      <c r="P36" s="13">
        <v>0</v>
      </c>
      <c r="Q36" s="13">
        <v>685.25</v>
      </c>
      <c r="R36" s="13">
        <v>-483.5</v>
      </c>
      <c r="S36" s="13">
        <v>194.51</v>
      </c>
      <c r="T36" s="13">
        <f t="shared" si="2"/>
        <v>7280.61</v>
      </c>
      <c r="V36" s="13">
        <f t="shared" si="3"/>
        <v>0</v>
      </c>
      <c r="W36" s="13">
        <f t="shared" si="4"/>
        <v>0</v>
      </c>
      <c r="X36" s="13">
        <f t="shared" si="5"/>
        <v>0</v>
      </c>
      <c r="Y36" s="13">
        <f t="shared" si="6"/>
        <v>0</v>
      </c>
      <c r="Z36" s="13">
        <f t="shared" si="7"/>
        <v>0</v>
      </c>
      <c r="AA36" s="13">
        <f t="shared" si="8"/>
        <v>0</v>
      </c>
      <c r="AB36" s="13">
        <f t="shared" si="9"/>
        <v>0</v>
      </c>
      <c r="AC36" s="13">
        <f t="shared" si="10"/>
        <v>0</v>
      </c>
      <c r="AD36" s="13">
        <f t="shared" si="11"/>
        <v>0</v>
      </c>
      <c r="AE36" s="13">
        <f t="shared" si="12"/>
        <v>13.705</v>
      </c>
      <c r="AF36" s="13">
        <f t="shared" si="13"/>
        <v>-9.67</v>
      </c>
      <c r="AG36" s="13">
        <f t="shared" si="14"/>
        <v>3.8901999999999997</v>
      </c>
      <c r="AH36" s="15">
        <f t="shared" si="19"/>
        <v>0.66043333333333332</v>
      </c>
      <c r="AI36" s="15">
        <f t="shared" si="20"/>
        <v>7.9252000000000002</v>
      </c>
    </row>
    <row r="37" spans="2:45" ht="12" customHeight="1" x14ac:dyDescent="0.2">
      <c r="B37" s="30"/>
      <c r="C37" s="30"/>
      <c r="D37" s="11"/>
      <c r="E37" s="11"/>
      <c r="F37" s="11"/>
      <c r="G37" s="11"/>
      <c r="H37" s="12"/>
      <c r="I37" s="12" t="str">
        <f>IF(G37="","",(#REF!/G37)+(#REF!/#REF!))</f>
        <v/>
      </c>
      <c r="J37" s="12" t="str">
        <f>IF(G37="","",I37/12)</f>
        <v/>
      </c>
      <c r="K37" s="12"/>
      <c r="L37" s="12"/>
      <c r="M37" s="12"/>
      <c r="N37" s="12"/>
      <c r="O37" s="13"/>
      <c r="P37" s="13"/>
      <c r="Q37" s="13"/>
      <c r="R37" s="13"/>
      <c r="S37" s="13"/>
      <c r="T37" s="13"/>
      <c r="V37" s="13"/>
      <c r="W37" s="13"/>
      <c r="X37" s="13"/>
      <c r="Y37" s="13"/>
      <c r="Z37" s="13"/>
      <c r="AA37" s="13"/>
      <c r="AB37" s="13"/>
      <c r="AC37" s="13"/>
      <c r="AD37" s="13"/>
      <c r="AE37" s="13"/>
      <c r="AF37" s="13"/>
      <c r="AG37" s="13"/>
    </row>
    <row r="38" spans="2:45" ht="12" customHeight="1" x14ac:dyDescent="0.2">
      <c r="B38" s="26"/>
      <c r="C38" s="31" t="s">
        <v>6</v>
      </c>
      <c r="D38" s="11"/>
      <c r="E38" s="11"/>
      <c r="F38" s="11"/>
      <c r="G38" s="11"/>
      <c r="H38" s="23">
        <f t="shared" ref="H38:T38" si="21">SUM(H11:H37)</f>
        <v>604191.96500000008</v>
      </c>
      <c r="I38" s="23">
        <f t="shared" si="21"/>
        <v>603148.25500000012</v>
      </c>
      <c r="J38" s="23">
        <f t="shared" si="21"/>
        <v>608996.9850000001</v>
      </c>
      <c r="K38" s="23">
        <f t="shared" si="21"/>
        <v>608911.46499999997</v>
      </c>
      <c r="L38" s="23">
        <f t="shared" si="21"/>
        <v>611423.90499999991</v>
      </c>
      <c r="M38" s="23">
        <f t="shared" si="21"/>
        <v>609881.8550000001</v>
      </c>
      <c r="N38" s="23">
        <f t="shared" si="21"/>
        <v>612413.81500000006</v>
      </c>
      <c r="O38" s="23">
        <f t="shared" si="21"/>
        <v>610395.74499999988</v>
      </c>
      <c r="P38" s="23">
        <f t="shared" si="21"/>
        <v>638088.495</v>
      </c>
      <c r="Q38" s="23">
        <f t="shared" si="21"/>
        <v>636246.83500000008</v>
      </c>
      <c r="R38" s="23">
        <f t="shared" si="21"/>
        <v>662750.71000000008</v>
      </c>
      <c r="S38" s="23">
        <f t="shared" si="21"/>
        <v>661896.755</v>
      </c>
      <c r="T38" s="23">
        <f t="shared" si="21"/>
        <v>7468346.7849999992</v>
      </c>
      <c r="V38" s="182">
        <f t="shared" ref="V38:AI38" si="22">SUM(V11:V26)</f>
        <v>74681.739862400253</v>
      </c>
      <c r="W38" s="182">
        <f t="shared" si="22"/>
        <v>74454.236931499487</v>
      </c>
      <c r="X38" s="182">
        <f t="shared" si="22"/>
        <v>75128.621183210926</v>
      </c>
      <c r="Y38" s="182">
        <f t="shared" si="22"/>
        <v>74826.541961854513</v>
      </c>
      <c r="Z38" s="182">
        <f t="shared" si="22"/>
        <v>75540.971945172772</v>
      </c>
      <c r="AA38" s="182">
        <f t="shared" si="22"/>
        <v>75252.183412509374</v>
      </c>
      <c r="AB38" s="182">
        <f t="shared" si="22"/>
        <v>75633.094854660798</v>
      </c>
      <c r="AC38" s="182">
        <f t="shared" si="22"/>
        <v>75399.90652505352</v>
      </c>
      <c r="AD38" s="182">
        <f t="shared" si="22"/>
        <v>78025.259950439096</v>
      </c>
      <c r="AE38" s="182">
        <f t="shared" si="22"/>
        <v>70013.344363984477</v>
      </c>
      <c r="AF38" s="182">
        <f t="shared" si="22"/>
        <v>72348.08009610897</v>
      </c>
      <c r="AG38" s="182">
        <f t="shared" si="22"/>
        <v>72175.174507457603</v>
      </c>
      <c r="AH38" s="182">
        <f t="shared" si="22"/>
        <v>74456.596299529323</v>
      </c>
      <c r="AI38" s="182">
        <f t="shared" si="22"/>
        <v>893479.15559435193</v>
      </c>
      <c r="AM38" s="213">
        <f>+SUM(AM14:AM37)</f>
        <v>73660.38894622009</v>
      </c>
      <c r="AO38" s="213">
        <f>+SUM(AO14:AO37)</f>
        <v>0</v>
      </c>
      <c r="AQ38" s="213">
        <f>+SUM(AQ14:AQ37)</f>
        <v>0</v>
      </c>
      <c r="AS38" s="213">
        <f>+SUM(AS14:AS37)</f>
        <v>288.8211805555556</v>
      </c>
    </row>
    <row r="39" spans="2:45" ht="12" customHeight="1" x14ac:dyDescent="0.2">
      <c r="B39" s="26"/>
      <c r="C39" s="26"/>
      <c r="D39" s="11"/>
      <c r="E39" s="11"/>
      <c r="F39" s="11"/>
      <c r="G39" s="11"/>
      <c r="H39" s="12"/>
      <c r="I39" s="13" t="str">
        <f>IF(G39="","",(#REF!/G39)+(#REF!/#REF!))</f>
        <v/>
      </c>
      <c r="J39" s="13" t="str">
        <f>IF(G39="","",I39/12)</f>
        <v/>
      </c>
      <c r="K39" s="12"/>
      <c r="L39" s="14"/>
      <c r="M39" s="12"/>
      <c r="V39" s="25"/>
      <c r="W39" s="25"/>
      <c r="X39" s="25"/>
      <c r="Y39" s="25"/>
      <c r="Z39" s="25"/>
      <c r="AA39" s="25"/>
      <c r="AB39" s="25"/>
      <c r="AC39" s="25"/>
      <c r="AD39" s="25"/>
      <c r="AE39" s="25"/>
      <c r="AF39" s="25"/>
      <c r="AG39" s="25"/>
    </row>
    <row r="40" spans="2:45" ht="12" customHeight="1" x14ac:dyDescent="0.2">
      <c r="B40" s="32" t="s">
        <v>433</v>
      </c>
      <c r="C40" s="32" t="s">
        <v>433</v>
      </c>
      <c r="D40" s="11"/>
      <c r="E40" s="11"/>
      <c r="F40" s="11"/>
      <c r="G40" s="11"/>
      <c r="H40" s="12"/>
      <c r="I40" s="13" t="str">
        <f>IF(G40="","",(#REF!/G40)+(#REF!/#REF!))</f>
        <v/>
      </c>
      <c r="J40" s="13" t="str">
        <f>IF(G40="","",I40/12)</f>
        <v/>
      </c>
    </row>
    <row r="41" spans="2:45" s="241" customFormat="1" ht="12" customHeight="1" x14ac:dyDescent="0.2">
      <c r="B41" s="250" t="s">
        <v>434</v>
      </c>
      <c r="C41" s="232" t="s">
        <v>435</v>
      </c>
      <c r="D41" s="238">
        <v>3.63</v>
      </c>
      <c r="E41" s="238">
        <v>3.63</v>
      </c>
      <c r="F41" s="238">
        <v>4.24</v>
      </c>
      <c r="G41" s="238"/>
      <c r="H41" s="240">
        <v>46008.5</v>
      </c>
      <c r="I41" s="240">
        <v>46533.22</v>
      </c>
      <c r="J41" s="240">
        <v>46656.119999999995</v>
      </c>
      <c r="K41" s="240">
        <v>46826.97</v>
      </c>
      <c r="L41" s="240">
        <v>47643.03</v>
      </c>
      <c r="M41" s="240">
        <v>47910.36</v>
      </c>
      <c r="N41" s="240">
        <v>48412.859999999993</v>
      </c>
      <c r="O41" s="240">
        <v>48824.58</v>
      </c>
      <c r="P41" s="240">
        <v>48786.720000000001</v>
      </c>
      <c r="Q41" s="240">
        <v>52173.2</v>
      </c>
      <c r="R41" s="240">
        <v>52173.2</v>
      </c>
      <c r="S41" s="240">
        <v>53089.039999999994</v>
      </c>
      <c r="T41" s="240">
        <f>SUM(H41:S41)</f>
        <v>585037.80000000005</v>
      </c>
      <c r="V41" s="240">
        <f t="shared" ref="V41:X43" si="23">IFERROR(H41/$D41,0)</f>
        <v>12674.517906336088</v>
      </c>
      <c r="W41" s="240">
        <f t="shared" si="23"/>
        <v>12819.068870523417</v>
      </c>
      <c r="X41" s="240">
        <f t="shared" si="23"/>
        <v>12852.92561983471</v>
      </c>
      <c r="Y41" s="240">
        <f t="shared" ref="Y41:AD43" si="24">IFERROR(K41/$E41,0)</f>
        <v>12899.991735537191</v>
      </c>
      <c r="Z41" s="240">
        <f t="shared" si="24"/>
        <v>13124.801652892562</v>
      </c>
      <c r="AA41" s="240">
        <f t="shared" si="24"/>
        <v>13198.446280991737</v>
      </c>
      <c r="AB41" s="240">
        <f t="shared" si="24"/>
        <v>13336.87603305785</v>
      </c>
      <c r="AC41" s="240">
        <f t="shared" si="24"/>
        <v>13450.297520661157</v>
      </c>
      <c r="AD41" s="240">
        <f t="shared" si="24"/>
        <v>13439.867768595042</v>
      </c>
      <c r="AE41" s="240">
        <f t="shared" ref="AE41:AG43" si="25">IFERROR(Q41/$F41,0)</f>
        <v>12304.999999999998</v>
      </c>
      <c r="AF41" s="240">
        <f t="shared" si="25"/>
        <v>12304.999999999998</v>
      </c>
      <c r="AG41" s="240">
        <f t="shared" si="25"/>
        <v>12520.999999999998</v>
      </c>
      <c r="AH41" s="242">
        <f>+IFERROR(AVERAGE(V41:AG41),0)</f>
        <v>12910.649449035811</v>
      </c>
      <c r="AI41" s="242">
        <f>+SUM(V41:AG41)</f>
        <v>154927.79338842974</v>
      </c>
      <c r="AL41" s="241">
        <v>1</v>
      </c>
      <c r="AM41" s="240">
        <f>+AH41*AL41</f>
        <v>12910.649449035811</v>
      </c>
    </row>
    <row r="42" spans="2:45" ht="12" customHeight="1" x14ac:dyDescent="0.2">
      <c r="B42" s="61" t="s">
        <v>1179</v>
      </c>
      <c r="C42" s="58" t="s">
        <v>1366</v>
      </c>
      <c r="D42" s="11">
        <v>0.31</v>
      </c>
      <c r="E42" s="11">
        <v>0.31</v>
      </c>
      <c r="F42" s="11">
        <v>0.54800000000000004</v>
      </c>
      <c r="G42" s="11"/>
      <c r="H42" s="13">
        <v>3547.5</v>
      </c>
      <c r="I42" s="13">
        <v>3588.1800000000003</v>
      </c>
      <c r="J42" s="13">
        <v>3597.86</v>
      </c>
      <c r="K42" s="13">
        <v>3610.11</v>
      </c>
      <c r="L42" s="13">
        <v>3673.6000000000004</v>
      </c>
      <c r="M42" s="13">
        <v>3694.52</v>
      </c>
      <c r="N42" s="13">
        <v>3733.33</v>
      </c>
      <c r="O42" s="13">
        <v>3764.6899999999996</v>
      </c>
      <c r="P42" s="13">
        <v>3762.16</v>
      </c>
      <c r="Q42" s="13">
        <v>6011.27</v>
      </c>
      <c r="R42" s="13">
        <v>6039.89</v>
      </c>
      <c r="S42" s="13">
        <v>6146.6500000000005</v>
      </c>
      <c r="T42" s="25">
        <f>SUM(H42:S42)</f>
        <v>51169.760000000002</v>
      </c>
      <c r="V42" s="13">
        <f t="shared" si="23"/>
        <v>11443.548387096775</v>
      </c>
      <c r="W42" s="13">
        <f t="shared" si="23"/>
        <v>11574.774193548388</v>
      </c>
      <c r="X42" s="13">
        <f t="shared" si="23"/>
        <v>11606</v>
      </c>
      <c r="Y42" s="13">
        <f t="shared" si="24"/>
        <v>11645.516129032259</v>
      </c>
      <c r="Z42" s="13">
        <f t="shared" si="24"/>
        <v>11850.322580645163</v>
      </c>
      <c r="AA42" s="13">
        <f t="shared" si="24"/>
        <v>11917.806451612903</v>
      </c>
      <c r="AB42" s="13">
        <f t="shared" si="24"/>
        <v>12043</v>
      </c>
      <c r="AC42" s="13">
        <f t="shared" si="24"/>
        <v>12144.16129032258</v>
      </c>
      <c r="AD42" s="13">
        <f t="shared" si="24"/>
        <v>12136</v>
      </c>
      <c r="AE42" s="13">
        <f t="shared" si="25"/>
        <v>10969.470802919708</v>
      </c>
      <c r="AF42" s="13">
        <f t="shared" si="25"/>
        <v>11021.697080291971</v>
      </c>
      <c r="AG42" s="13">
        <f t="shared" si="25"/>
        <v>11216.514598540147</v>
      </c>
      <c r="AH42" s="15">
        <f>+IFERROR(AVERAGE(V42:AG42),0)</f>
        <v>11630.734292834159</v>
      </c>
      <c r="AI42" s="15">
        <f>+SUM(V42:AG42)</f>
        <v>139568.8115140099</v>
      </c>
    </row>
    <row r="43" spans="2:45" ht="12" customHeight="1" x14ac:dyDescent="0.2">
      <c r="B43" s="61" t="s">
        <v>1033</v>
      </c>
      <c r="C43" s="58" t="s">
        <v>1362</v>
      </c>
      <c r="D43" s="11">
        <v>8.11</v>
      </c>
      <c r="E43" s="11">
        <v>8.11</v>
      </c>
      <c r="F43" s="11">
        <v>8.52</v>
      </c>
      <c r="G43" s="11"/>
      <c r="H43" s="13">
        <v>0</v>
      </c>
      <c r="I43" s="13">
        <v>16.22</v>
      </c>
      <c r="J43" s="13">
        <v>0</v>
      </c>
      <c r="K43" s="13">
        <v>0</v>
      </c>
      <c r="L43" s="13">
        <v>0</v>
      </c>
      <c r="M43" s="13">
        <v>8.52</v>
      </c>
      <c r="N43" s="13">
        <v>0</v>
      </c>
      <c r="O43" s="13">
        <v>17.04</v>
      </c>
      <c r="P43" s="13">
        <v>0</v>
      </c>
      <c r="Q43" s="13">
        <v>85.2</v>
      </c>
      <c r="R43" s="13">
        <v>0</v>
      </c>
      <c r="S43" s="13">
        <v>8.52</v>
      </c>
      <c r="T43" s="25">
        <f>SUM(H43:S43)</f>
        <v>135.5</v>
      </c>
      <c r="V43" s="13">
        <f t="shared" si="23"/>
        <v>0</v>
      </c>
      <c r="W43" s="13">
        <f t="shared" si="23"/>
        <v>2</v>
      </c>
      <c r="X43" s="13">
        <f t="shared" si="23"/>
        <v>0</v>
      </c>
      <c r="Y43" s="13">
        <f t="shared" si="24"/>
        <v>0</v>
      </c>
      <c r="Z43" s="13">
        <f t="shared" si="24"/>
        <v>0</v>
      </c>
      <c r="AA43" s="13">
        <f t="shared" si="24"/>
        <v>1.0505548705302097</v>
      </c>
      <c r="AB43" s="13">
        <f t="shared" si="24"/>
        <v>0</v>
      </c>
      <c r="AC43" s="13">
        <f t="shared" si="24"/>
        <v>2.1011097410604194</v>
      </c>
      <c r="AD43" s="13">
        <f t="shared" si="24"/>
        <v>0</v>
      </c>
      <c r="AE43" s="13">
        <f t="shared" si="25"/>
        <v>10</v>
      </c>
      <c r="AF43" s="13">
        <f t="shared" si="25"/>
        <v>0</v>
      </c>
      <c r="AG43" s="13">
        <f t="shared" si="25"/>
        <v>1</v>
      </c>
      <c r="AH43" s="15">
        <f>+IFERROR(AVERAGE(V43:AG43),0)</f>
        <v>1.3459720509658857</v>
      </c>
      <c r="AI43" s="15">
        <f>+SUM(V43:AG43)</f>
        <v>16.151664611590629</v>
      </c>
    </row>
    <row r="44" spans="2:45" ht="12" customHeight="1" x14ac:dyDescent="0.2">
      <c r="B44" s="26"/>
      <c r="C44" s="26"/>
      <c r="D44" s="11"/>
      <c r="E44" s="11"/>
      <c r="F44" s="11"/>
      <c r="G44" s="11"/>
      <c r="H44" s="12"/>
      <c r="I44" s="13" t="str">
        <f>IF(G44="","",(#REF!/G44)+(#REF!/#REF!))</f>
        <v/>
      </c>
      <c r="J44" s="13" t="str">
        <f>IF(G44="","",I44/12)</f>
        <v/>
      </c>
      <c r="K44" s="16"/>
      <c r="L44" s="14"/>
      <c r="V44" s="25"/>
      <c r="W44" s="25"/>
      <c r="X44" s="25"/>
      <c r="Y44" s="25"/>
      <c r="Z44" s="25"/>
      <c r="AA44" s="25"/>
      <c r="AB44" s="25"/>
      <c r="AC44" s="25"/>
      <c r="AD44" s="25"/>
      <c r="AE44" s="25"/>
      <c r="AF44" s="25"/>
      <c r="AG44" s="25"/>
    </row>
    <row r="45" spans="2:45" ht="12" customHeight="1" x14ac:dyDescent="0.2">
      <c r="B45" s="26"/>
      <c r="C45" s="31" t="s">
        <v>23</v>
      </c>
      <c r="D45" s="11"/>
      <c r="E45" s="11"/>
      <c r="F45" s="11"/>
      <c r="G45" s="11"/>
      <c r="H45" s="23">
        <f t="shared" ref="H45:T45" si="26">SUM(H41:H44)</f>
        <v>49556</v>
      </c>
      <c r="I45" s="23">
        <f t="shared" si="26"/>
        <v>50137.62</v>
      </c>
      <c r="J45" s="23">
        <f t="shared" si="26"/>
        <v>50253.979999999996</v>
      </c>
      <c r="K45" s="23">
        <f t="shared" si="26"/>
        <v>50437.08</v>
      </c>
      <c r="L45" s="23">
        <f t="shared" si="26"/>
        <v>51316.63</v>
      </c>
      <c r="M45" s="23">
        <f t="shared" si="26"/>
        <v>51613.399999999994</v>
      </c>
      <c r="N45" s="23">
        <f t="shared" si="26"/>
        <v>52146.189999999995</v>
      </c>
      <c r="O45" s="23">
        <f t="shared" si="26"/>
        <v>52606.310000000005</v>
      </c>
      <c r="P45" s="23">
        <f t="shared" si="26"/>
        <v>52548.880000000005</v>
      </c>
      <c r="Q45" s="23">
        <f t="shared" si="26"/>
        <v>58269.67</v>
      </c>
      <c r="R45" s="23">
        <f t="shared" si="26"/>
        <v>58213.09</v>
      </c>
      <c r="S45" s="23">
        <f t="shared" si="26"/>
        <v>59244.209999999992</v>
      </c>
      <c r="T45" s="23">
        <f t="shared" si="26"/>
        <v>636343.06000000006</v>
      </c>
      <c r="V45" s="182">
        <f t="shared" ref="V45:AI45" si="27">SUM(V41)</f>
        <v>12674.517906336088</v>
      </c>
      <c r="W45" s="182">
        <f t="shared" si="27"/>
        <v>12819.068870523417</v>
      </c>
      <c r="X45" s="182">
        <f t="shared" si="27"/>
        <v>12852.92561983471</v>
      </c>
      <c r="Y45" s="182">
        <f t="shared" si="27"/>
        <v>12899.991735537191</v>
      </c>
      <c r="Z45" s="182">
        <f t="shared" si="27"/>
        <v>13124.801652892562</v>
      </c>
      <c r="AA45" s="182">
        <f t="shared" si="27"/>
        <v>13198.446280991737</v>
      </c>
      <c r="AB45" s="182">
        <f t="shared" si="27"/>
        <v>13336.87603305785</v>
      </c>
      <c r="AC45" s="182">
        <f t="shared" si="27"/>
        <v>13450.297520661157</v>
      </c>
      <c r="AD45" s="182">
        <f t="shared" si="27"/>
        <v>13439.867768595042</v>
      </c>
      <c r="AE45" s="182">
        <f t="shared" si="27"/>
        <v>12304.999999999998</v>
      </c>
      <c r="AF45" s="182">
        <f t="shared" si="27"/>
        <v>12304.999999999998</v>
      </c>
      <c r="AG45" s="182">
        <f t="shared" si="27"/>
        <v>12520.999999999998</v>
      </c>
      <c r="AH45" s="251">
        <f t="shared" si="27"/>
        <v>12910.649449035811</v>
      </c>
      <c r="AI45" s="251">
        <f t="shared" si="27"/>
        <v>154927.79338842974</v>
      </c>
      <c r="AM45" s="213">
        <f>+SUM(AM41:AM44)</f>
        <v>12910.649449035811</v>
      </c>
      <c r="AO45" s="213">
        <f>+SUM(AO41:AO44)</f>
        <v>0</v>
      </c>
      <c r="AQ45" s="213">
        <f>+SUM(AQ41:AQ44)</f>
        <v>0</v>
      </c>
      <c r="AS45" s="213">
        <f>+SUM(AS41:AS44)</f>
        <v>0</v>
      </c>
    </row>
    <row r="46" spans="2:45" ht="12" customHeight="1" x14ac:dyDescent="0.2">
      <c r="B46" s="26"/>
      <c r="C46" s="31"/>
      <c r="D46" s="11"/>
      <c r="E46" s="11"/>
      <c r="F46" s="11"/>
      <c r="G46" s="11"/>
      <c r="H46" s="12"/>
      <c r="I46" s="13" t="str">
        <f>IF(G46="","",(#REF!/G46)+(#REF!/#REF!))</f>
        <v/>
      </c>
      <c r="J46" s="13" t="str">
        <f>IF(G46="","",I46/12)</f>
        <v/>
      </c>
      <c r="K46" s="16"/>
      <c r="L46" s="14"/>
      <c r="V46" s="25"/>
      <c r="W46" s="25"/>
      <c r="X46" s="25"/>
      <c r="Y46" s="25"/>
      <c r="Z46" s="25"/>
      <c r="AA46" s="25"/>
      <c r="AB46" s="25"/>
      <c r="AC46" s="25"/>
      <c r="AD46" s="25"/>
      <c r="AE46" s="25"/>
      <c r="AF46" s="25"/>
      <c r="AG46" s="25"/>
    </row>
    <row r="47" spans="2:45" ht="12" customHeight="1" x14ac:dyDescent="0.2">
      <c r="B47" s="32" t="s">
        <v>7</v>
      </c>
      <c r="C47" s="32" t="s">
        <v>7</v>
      </c>
      <c r="D47" s="11"/>
      <c r="E47" s="11"/>
      <c r="F47" s="11"/>
      <c r="G47" s="11"/>
      <c r="H47" s="12"/>
      <c r="I47" s="13" t="str">
        <f>IF(G47="","",(#REF!/G47)+(#REF!/#REF!))</f>
        <v/>
      </c>
      <c r="J47" s="13" t="str">
        <f>IF(G47="","",I47/12)</f>
        <v/>
      </c>
      <c r="K47" s="12"/>
      <c r="L47" s="14"/>
    </row>
    <row r="48" spans="2:45" s="241" customFormat="1" ht="12" customHeight="1" x14ac:dyDescent="0.2">
      <c r="B48" s="250" t="s">
        <v>436</v>
      </c>
      <c r="C48" s="232" t="s">
        <v>446</v>
      </c>
      <c r="D48" s="238">
        <v>7.2</v>
      </c>
      <c r="E48" s="238">
        <v>7.2</v>
      </c>
      <c r="F48" s="238">
        <v>7.2</v>
      </c>
      <c r="G48" s="233"/>
      <c r="H48" s="233">
        <v>0</v>
      </c>
      <c r="I48" s="233">
        <v>0</v>
      </c>
      <c r="J48" s="233">
        <v>0</v>
      </c>
      <c r="K48" s="233">
        <v>0</v>
      </c>
      <c r="L48" s="233">
        <v>0</v>
      </c>
      <c r="M48" s="233">
        <v>0</v>
      </c>
      <c r="N48" s="233">
        <v>0</v>
      </c>
      <c r="O48" s="240">
        <v>0</v>
      </c>
      <c r="P48" s="240">
        <v>0</v>
      </c>
      <c r="Q48" s="240">
        <v>0</v>
      </c>
      <c r="R48" s="240">
        <v>0</v>
      </c>
      <c r="S48" s="240">
        <v>0</v>
      </c>
      <c r="T48" s="240">
        <f>SUM(H48:S48)</f>
        <v>0</v>
      </c>
      <c r="V48" s="240">
        <f t="shared" ref="V48:V63" si="28">IFERROR(H48/$D48,0)</f>
        <v>0</v>
      </c>
      <c r="W48" s="240">
        <f t="shared" ref="W48:W63" si="29">IFERROR(I48/$D48,0)</f>
        <v>0</v>
      </c>
      <c r="X48" s="240">
        <f t="shared" ref="X48:X63" si="30">IFERROR(J48/$D48,0)</f>
        <v>0</v>
      </c>
      <c r="Y48" s="240">
        <f t="shared" ref="Y48:Y63" si="31">IFERROR(K48/$E48,0)</f>
        <v>0</v>
      </c>
      <c r="Z48" s="240">
        <f t="shared" ref="Z48:Z63" si="32">IFERROR(L48/$E48,0)</f>
        <v>0</v>
      </c>
      <c r="AA48" s="240">
        <f t="shared" ref="AA48:AA63" si="33">IFERROR(M48/$E48,0)</f>
        <v>0</v>
      </c>
      <c r="AB48" s="240">
        <f t="shared" ref="AB48:AB63" si="34">IFERROR(N48/$E48,0)</f>
        <v>0</v>
      </c>
      <c r="AC48" s="240">
        <f t="shared" ref="AC48:AC63" si="35">IFERROR(O48/$E48,0)</f>
        <v>0</v>
      </c>
      <c r="AD48" s="240">
        <f t="shared" ref="AD48:AD63" si="36">IFERROR(P48/$E48,0)</f>
        <v>0</v>
      </c>
      <c r="AE48" s="240">
        <f t="shared" ref="AE48:AE63" si="37">IFERROR(Q48/$F48,0)</f>
        <v>0</v>
      </c>
      <c r="AF48" s="240">
        <f t="shared" ref="AF48:AF63" si="38">IFERROR(R48/$F48,0)</f>
        <v>0</v>
      </c>
      <c r="AG48" s="240">
        <f t="shared" ref="AG48:AG63" si="39">IFERROR(S48/$F48,0)</f>
        <v>0</v>
      </c>
      <c r="AH48" s="242">
        <f t="shared" ref="AH48:AH63" si="40">+IFERROR(AVERAGE(V48:AG48),0)</f>
        <v>0</v>
      </c>
      <c r="AI48" s="242">
        <f t="shared" ref="AI48:AI63" si="41">+SUM(V48:AG48)</f>
        <v>0</v>
      </c>
      <c r="AL48" s="241">
        <v>1</v>
      </c>
      <c r="AM48" s="240">
        <f t="shared" ref="AM48:AM53" si="42">+AH48*AL48</f>
        <v>0</v>
      </c>
      <c r="AO48" s="240">
        <f t="shared" ref="AO48:AO53" si="43">+AK48*AN48</f>
        <v>0</v>
      </c>
      <c r="AQ48" s="240">
        <f t="shared" ref="AQ48:AQ53" si="44">+AM48*AP48</f>
        <v>0</v>
      </c>
      <c r="AS48" s="240">
        <f t="shared" ref="AS48:AS53" si="45">+AO48*AR48</f>
        <v>0</v>
      </c>
    </row>
    <row r="49" spans="2:45" s="241" customFormat="1" ht="12" customHeight="1" x14ac:dyDescent="0.2">
      <c r="B49" s="250" t="s">
        <v>684</v>
      </c>
      <c r="C49" s="232" t="s">
        <v>685</v>
      </c>
      <c r="D49" s="238">
        <v>8.44</v>
      </c>
      <c r="E49" s="238">
        <v>8.44</v>
      </c>
      <c r="F49" s="238">
        <v>8.7100000000000009</v>
      </c>
      <c r="G49" s="233"/>
      <c r="H49" s="233">
        <v>1371.5</v>
      </c>
      <c r="I49" s="233">
        <v>1375.72</v>
      </c>
      <c r="J49" s="233">
        <v>1341.96</v>
      </c>
      <c r="K49" s="233">
        <v>1109.8600000000001</v>
      </c>
      <c r="L49" s="233">
        <v>681.53</v>
      </c>
      <c r="M49" s="233">
        <v>582.3599999999999</v>
      </c>
      <c r="N49" s="233">
        <v>590.79999999999995</v>
      </c>
      <c r="O49" s="240">
        <v>582.36</v>
      </c>
      <c r="P49" s="240">
        <v>582.36</v>
      </c>
      <c r="Q49" s="240">
        <v>609.70000000000005</v>
      </c>
      <c r="R49" s="240">
        <v>609.70000000000005</v>
      </c>
      <c r="S49" s="240">
        <v>609.70000000000005</v>
      </c>
      <c r="T49" s="240">
        <f t="shared" ref="T49:T63" si="46">SUM(H49:S49)</f>
        <v>10047.550000000003</v>
      </c>
      <c r="V49" s="240">
        <f t="shared" si="28"/>
        <v>162.5</v>
      </c>
      <c r="W49" s="240">
        <f t="shared" si="29"/>
        <v>163</v>
      </c>
      <c r="X49" s="240">
        <f t="shared" si="30"/>
        <v>159</v>
      </c>
      <c r="Y49" s="240">
        <f t="shared" si="31"/>
        <v>131.50000000000003</v>
      </c>
      <c r="Z49" s="240">
        <f t="shared" si="32"/>
        <v>80.75</v>
      </c>
      <c r="AA49" s="240">
        <f t="shared" si="33"/>
        <v>68.999999999999986</v>
      </c>
      <c r="AB49" s="240">
        <f t="shared" si="34"/>
        <v>70</v>
      </c>
      <c r="AC49" s="240">
        <f t="shared" si="35"/>
        <v>69</v>
      </c>
      <c r="AD49" s="240">
        <f t="shared" si="36"/>
        <v>69</v>
      </c>
      <c r="AE49" s="240">
        <f t="shared" si="37"/>
        <v>70</v>
      </c>
      <c r="AF49" s="240">
        <f t="shared" si="38"/>
        <v>70</v>
      </c>
      <c r="AG49" s="240">
        <f t="shared" si="39"/>
        <v>70</v>
      </c>
      <c r="AH49" s="242">
        <f t="shared" si="40"/>
        <v>98.645833333333329</v>
      </c>
      <c r="AI49" s="242">
        <f t="shared" si="41"/>
        <v>1183.75</v>
      </c>
      <c r="AL49" s="241">
        <v>1</v>
      </c>
      <c r="AM49" s="240">
        <f t="shared" si="42"/>
        <v>98.645833333333329</v>
      </c>
      <c r="AO49" s="240">
        <f t="shared" si="43"/>
        <v>0</v>
      </c>
      <c r="AQ49" s="240">
        <f t="shared" si="44"/>
        <v>0</v>
      </c>
      <c r="AS49" s="240">
        <f t="shared" si="45"/>
        <v>0</v>
      </c>
    </row>
    <row r="50" spans="2:45" s="241" customFormat="1" ht="12" customHeight="1" x14ac:dyDescent="0.2">
      <c r="B50" s="250" t="s">
        <v>646</v>
      </c>
      <c r="C50" s="232" t="s">
        <v>644</v>
      </c>
      <c r="D50" s="238">
        <v>8.44</v>
      </c>
      <c r="E50" s="238">
        <v>8.44</v>
      </c>
      <c r="F50" s="238">
        <v>8.7100000000000009</v>
      </c>
      <c r="G50" s="233"/>
      <c r="H50" s="233">
        <v>0</v>
      </c>
      <c r="I50" s="233">
        <v>0</v>
      </c>
      <c r="J50" s="233">
        <v>0</v>
      </c>
      <c r="K50" s="233">
        <v>0</v>
      </c>
      <c r="L50" s="233">
        <v>0</v>
      </c>
      <c r="M50" s="233">
        <v>0</v>
      </c>
      <c r="N50" s="233">
        <v>0</v>
      </c>
      <c r="O50" s="240">
        <v>0</v>
      </c>
      <c r="P50" s="240">
        <v>0</v>
      </c>
      <c r="Q50" s="240">
        <v>0</v>
      </c>
      <c r="R50" s="240">
        <v>0</v>
      </c>
      <c r="S50" s="240">
        <v>0</v>
      </c>
      <c r="T50" s="240">
        <f t="shared" si="46"/>
        <v>0</v>
      </c>
      <c r="V50" s="240">
        <f t="shared" si="28"/>
        <v>0</v>
      </c>
      <c r="W50" s="240">
        <f t="shared" si="29"/>
        <v>0</v>
      </c>
      <c r="X50" s="240">
        <f t="shared" si="30"/>
        <v>0</v>
      </c>
      <c r="Y50" s="240">
        <f t="shared" si="31"/>
        <v>0</v>
      </c>
      <c r="Z50" s="240">
        <f t="shared" si="32"/>
        <v>0</v>
      </c>
      <c r="AA50" s="240">
        <f t="shared" si="33"/>
        <v>0</v>
      </c>
      <c r="AB50" s="240">
        <f t="shared" si="34"/>
        <v>0</v>
      </c>
      <c r="AC50" s="240">
        <f t="shared" si="35"/>
        <v>0</v>
      </c>
      <c r="AD50" s="240">
        <f t="shared" si="36"/>
        <v>0</v>
      </c>
      <c r="AE50" s="240">
        <f t="shared" si="37"/>
        <v>0</v>
      </c>
      <c r="AF50" s="240">
        <f t="shared" si="38"/>
        <v>0</v>
      </c>
      <c r="AG50" s="240">
        <f t="shared" si="39"/>
        <v>0</v>
      </c>
      <c r="AH50" s="242">
        <f t="shared" si="40"/>
        <v>0</v>
      </c>
      <c r="AI50" s="242">
        <f t="shared" si="41"/>
        <v>0</v>
      </c>
      <c r="AL50" s="241">
        <v>1</v>
      </c>
      <c r="AM50" s="240">
        <f t="shared" si="42"/>
        <v>0</v>
      </c>
      <c r="AO50" s="240">
        <f t="shared" si="43"/>
        <v>0</v>
      </c>
      <c r="AQ50" s="240">
        <f t="shared" si="44"/>
        <v>0</v>
      </c>
      <c r="AS50" s="240">
        <f t="shared" si="45"/>
        <v>0</v>
      </c>
    </row>
    <row r="51" spans="2:45" s="241" customFormat="1" ht="12" customHeight="1" x14ac:dyDescent="0.2">
      <c r="B51" s="250" t="s">
        <v>789</v>
      </c>
      <c r="C51" s="232" t="s">
        <v>446</v>
      </c>
      <c r="D51" s="238">
        <v>7.2</v>
      </c>
      <c r="E51" s="238">
        <v>7.2</v>
      </c>
      <c r="F51" s="238">
        <v>7.2</v>
      </c>
      <c r="G51" s="233"/>
      <c r="H51" s="233">
        <v>0</v>
      </c>
      <c r="I51" s="233">
        <v>0</v>
      </c>
      <c r="J51" s="233">
        <v>0</v>
      </c>
      <c r="K51" s="233">
        <v>0</v>
      </c>
      <c r="L51" s="233">
        <v>0</v>
      </c>
      <c r="M51" s="233">
        <v>0</v>
      </c>
      <c r="N51" s="233">
        <v>0</v>
      </c>
      <c r="O51" s="240">
        <v>0</v>
      </c>
      <c r="P51" s="240">
        <v>0</v>
      </c>
      <c r="Q51" s="240">
        <v>0</v>
      </c>
      <c r="R51" s="240">
        <v>0</v>
      </c>
      <c r="S51" s="240">
        <v>0</v>
      </c>
      <c r="T51" s="240">
        <f t="shared" si="46"/>
        <v>0</v>
      </c>
      <c r="V51" s="240">
        <f t="shared" si="28"/>
        <v>0</v>
      </c>
      <c r="W51" s="240">
        <f t="shared" si="29"/>
        <v>0</v>
      </c>
      <c r="X51" s="240">
        <f t="shared" si="30"/>
        <v>0</v>
      </c>
      <c r="Y51" s="240">
        <f t="shared" si="31"/>
        <v>0</v>
      </c>
      <c r="Z51" s="240">
        <f t="shared" si="32"/>
        <v>0</v>
      </c>
      <c r="AA51" s="240">
        <f t="shared" si="33"/>
        <v>0</v>
      </c>
      <c r="AB51" s="240">
        <f t="shared" si="34"/>
        <v>0</v>
      </c>
      <c r="AC51" s="240">
        <f t="shared" si="35"/>
        <v>0</v>
      </c>
      <c r="AD51" s="240">
        <f t="shared" si="36"/>
        <v>0</v>
      </c>
      <c r="AE51" s="240">
        <f t="shared" si="37"/>
        <v>0</v>
      </c>
      <c r="AF51" s="240">
        <f t="shared" si="38"/>
        <v>0</v>
      </c>
      <c r="AG51" s="240">
        <f t="shared" si="39"/>
        <v>0</v>
      </c>
      <c r="AH51" s="242">
        <f t="shared" si="40"/>
        <v>0</v>
      </c>
      <c r="AI51" s="242">
        <f t="shared" si="41"/>
        <v>0</v>
      </c>
      <c r="AL51" s="241">
        <v>1</v>
      </c>
      <c r="AM51" s="240">
        <f t="shared" si="42"/>
        <v>0</v>
      </c>
      <c r="AO51" s="240">
        <f t="shared" si="43"/>
        <v>0</v>
      </c>
      <c r="AQ51" s="240">
        <f t="shared" si="44"/>
        <v>0</v>
      </c>
      <c r="AS51" s="240">
        <f t="shared" si="45"/>
        <v>0</v>
      </c>
    </row>
    <row r="52" spans="2:45" s="241" customFormat="1" ht="12" customHeight="1" x14ac:dyDescent="0.2">
      <c r="B52" s="250" t="s">
        <v>437</v>
      </c>
      <c r="C52" s="232" t="s">
        <v>447</v>
      </c>
      <c r="D52" s="238">
        <v>7.2</v>
      </c>
      <c r="E52" s="238">
        <v>7.2</v>
      </c>
      <c r="F52" s="238">
        <v>8.7100000000000009</v>
      </c>
      <c r="G52" s="252"/>
      <c r="H52" s="233">
        <v>23887.31</v>
      </c>
      <c r="I52" s="233">
        <v>23815.57</v>
      </c>
      <c r="J52" s="233">
        <v>23865.590000000004</v>
      </c>
      <c r="K52" s="233">
        <v>23734.770000000004</v>
      </c>
      <c r="L52" s="233">
        <v>23705.850000000002</v>
      </c>
      <c r="M52" s="233">
        <v>23609.010000000002</v>
      </c>
      <c r="N52" s="233">
        <v>23486.409999999996</v>
      </c>
      <c r="O52" s="240">
        <v>23338.709999999995</v>
      </c>
      <c r="P52" s="240">
        <v>23462.1</v>
      </c>
      <c r="Q52" s="240">
        <v>23326.76</v>
      </c>
      <c r="R52" s="240">
        <v>23421.175000000003</v>
      </c>
      <c r="S52" s="240">
        <v>23355.825000000001</v>
      </c>
      <c r="T52" s="240">
        <f t="shared" si="46"/>
        <v>283009.08</v>
      </c>
      <c r="V52" s="240">
        <f t="shared" si="28"/>
        <v>3317.6819444444445</v>
      </c>
      <c r="W52" s="240">
        <f t="shared" si="29"/>
        <v>3307.7180555555556</v>
      </c>
      <c r="X52" s="240">
        <f t="shared" si="30"/>
        <v>3314.6652777777781</v>
      </c>
      <c r="Y52" s="240">
        <f t="shared" si="31"/>
        <v>3296.4958333333338</v>
      </c>
      <c r="Z52" s="240">
        <f t="shared" si="32"/>
        <v>3292.479166666667</v>
      </c>
      <c r="AA52" s="240">
        <f t="shared" si="33"/>
        <v>3279.0291666666667</v>
      </c>
      <c r="AB52" s="240">
        <f t="shared" si="34"/>
        <v>3262.0013888888884</v>
      </c>
      <c r="AC52" s="240">
        <f t="shared" si="35"/>
        <v>3241.4874999999993</v>
      </c>
      <c r="AD52" s="240">
        <f t="shared" si="36"/>
        <v>3258.6249999999995</v>
      </c>
      <c r="AE52" s="240">
        <f t="shared" si="37"/>
        <v>2678.1584385763485</v>
      </c>
      <c r="AF52" s="240">
        <f t="shared" si="38"/>
        <v>2688.9982778415615</v>
      </c>
      <c r="AG52" s="240">
        <f t="shared" si="39"/>
        <v>2681.4954075774967</v>
      </c>
      <c r="AH52" s="242">
        <f t="shared" si="40"/>
        <v>3134.9029547773953</v>
      </c>
      <c r="AI52" s="242">
        <f t="shared" si="41"/>
        <v>37618.835457328743</v>
      </c>
      <c r="AL52" s="241">
        <v>1</v>
      </c>
      <c r="AM52" s="240">
        <f t="shared" si="42"/>
        <v>3134.9029547773953</v>
      </c>
      <c r="AO52" s="240">
        <f t="shared" si="43"/>
        <v>0</v>
      </c>
      <c r="AQ52" s="240">
        <f t="shared" si="44"/>
        <v>0</v>
      </c>
      <c r="AS52" s="240">
        <f t="shared" si="45"/>
        <v>0</v>
      </c>
    </row>
    <row r="53" spans="2:45" s="241" customFormat="1" ht="12" customHeight="1" x14ac:dyDescent="0.2">
      <c r="B53" s="250" t="s">
        <v>438</v>
      </c>
      <c r="C53" s="232" t="s">
        <v>448</v>
      </c>
      <c r="D53" s="238">
        <v>7.2</v>
      </c>
      <c r="E53" s="238">
        <v>7.2</v>
      </c>
      <c r="F53" s="238">
        <v>8.7100000000000009</v>
      </c>
      <c r="G53" s="252"/>
      <c r="H53" s="233">
        <v>207747.31</v>
      </c>
      <c r="I53" s="233">
        <v>207084.47500000001</v>
      </c>
      <c r="J53" s="233">
        <v>216353.69000000003</v>
      </c>
      <c r="K53" s="233">
        <v>215508.85499999998</v>
      </c>
      <c r="L53" s="233">
        <v>217291.92499999999</v>
      </c>
      <c r="M53" s="233">
        <v>215984.10499999998</v>
      </c>
      <c r="N53" s="233">
        <v>216527.46000000002</v>
      </c>
      <c r="O53" s="240">
        <v>214841.24</v>
      </c>
      <c r="P53" s="240">
        <v>214662.24000000002</v>
      </c>
      <c r="Q53" s="240">
        <v>212346.11000000002</v>
      </c>
      <c r="R53" s="240">
        <v>213498.33000000002</v>
      </c>
      <c r="S53" s="240">
        <v>212927.42000000004</v>
      </c>
      <c r="T53" s="240">
        <f t="shared" si="46"/>
        <v>2564773.16</v>
      </c>
      <c r="V53" s="240">
        <f t="shared" si="28"/>
        <v>28853.793055555554</v>
      </c>
      <c r="W53" s="240">
        <f t="shared" si="29"/>
        <v>28761.732638888891</v>
      </c>
      <c r="X53" s="240">
        <f t="shared" si="30"/>
        <v>30049.123611111114</v>
      </c>
      <c r="Y53" s="240">
        <f t="shared" si="31"/>
        <v>29931.785416666662</v>
      </c>
      <c r="Z53" s="240">
        <f t="shared" si="32"/>
        <v>30179.434027777774</v>
      </c>
      <c r="AA53" s="240">
        <f t="shared" si="33"/>
        <v>29997.792361111107</v>
      </c>
      <c r="AB53" s="240">
        <f t="shared" si="34"/>
        <v>30073.258333333335</v>
      </c>
      <c r="AC53" s="240">
        <f t="shared" si="35"/>
        <v>29839.06111111111</v>
      </c>
      <c r="AD53" s="240">
        <f t="shared" si="36"/>
        <v>29814.2</v>
      </c>
      <c r="AE53" s="240">
        <f t="shared" si="37"/>
        <v>24379.576349024108</v>
      </c>
      <c r="AF53" s="240">
        <f t="shared" si="38"/>
        <v>24511.863375430537</v>
      </c>
      <c r="AG53" s="240">
        <f t="shared" si="39"/>
        <v>24446.316877152702</v>
      </c>
      <c r="AH53" s="242">
        <f t="shared" si="40"/>
        <v>28403.161429763579</v>
      </c>
      <c r="AI53" s="242">
        <f t="shared" si="41"/>
        <v>340837.93715716293</v>
      </c>
      <c r="AL53" s="241">
        <v>1</v>
      </c>
      <c r="AM53" s="240">
        <f t="shared" si="42"/>
        <v>28403.161429763579</v>
      </c>
      <c r="AO53" s="240">
        <f t="shared" si="43"/>
        <v>0</v>
      </c>
      <c r="AQ53" s="240">
        <f t="shared" si="44"/>
        <v>0</v>
      </c>
      <c r="AS53" s="240">
        <f t="shared" si="45"/>
        <v>0</v>
      </c>
    </row>
    <row r="54" spans="2:45" ht="12" customHeight="1" x14ac:dyDescent="0.2">
      <c r="B54" s="61" t="s">
        <v>439</v>
      </c>
      <c r="C54" s="58" t="s">
        <v>449</v>
      </c>
      <c r="D54" s="11">
        <v>3.12</v>
      </c>
      <c r="E54" s="11">
        <v>3.12</v>
      </c>
      <c r="F54" s="11">
        <v>3.78</v>
      </c>
      <c r="G54" s="12"/>
      <c r="H54" s="12">
        <v>1299.3000000000002</v>
      </c>
      <c r="I54" s="12">
        <v>4059.4</v>
      </c>
      <c r="J54" s="12">
        <v>3572.1599999999994</v>
      </c>
      <c r="K54" s="12">
        <v>2649.84</v>
      </c>
      <c r="L54" s="12">
        <v>2562.0000000000005</v>
      </c>
      <c r="M54" s="12">
        <v>2880.42</v>
      </c>
      <c r="N54" s="12">
        <v>2924.34</v>
      </c>
      <c r="O54" s="13">
        <v>7566.6799999999994</v>
      </c>
      <c r="P54" s="13">
        <v>2510.7599999999998</v>
      </c>
      <c r="Q54" s="13">
        <v>605.57999999999993</v>
      </c>
      <c r="R54" s="13">
        <v>941.22</v>
      </c>
      <c r="S54" s="13">
        <v>2223.4000000000005</v>
      </c>
      <c r="T54" s="25">
        <f t="shared" si="46"/>
        <v>33795.100000000006</v>
      </c>
      <c r="V54" s="13">
        <f t="shared" si="28"/>
        <v>416.44230769230774</v>
      </c>
      <c r="W54" s="13">
        <f t="shared" si="29"/>
        <v>1301.0897435897436</v>
      </c>
      <c r="X54" s="13">
        <f t="shared" si="30"/>
        <v>1144.9230769230767</v>
      </c>
      <c r="Y54" s="13">
        <f t="shared" si="31"/>
        <v>849.30769230769238</v>
      </c>
      <c r="Z54" s="13">
        <f t="shared" si="32"/>
        <v>821.1538461538463</v>
      </c>
      <c r="AA54" s="13">
        <f t="shared" si="33"/>
        <v>923.21153846153845</v>
      </c>
      <c r="AB54" s="13">
        <f t="shared" si="34"/>
        <v>937.28846153846155</v>
      </c>
      <c r="AC54" s="13">
        <f t="shared" si="35"/>
        <v>2425.2179487179483</v>
      </c>
      <c r="AD54" s="13">
        <f t="shared" si="36"/>
        <v>804.73076923076917</v>
      </c>
      <c r="AE54" s="13">
        <f t="shared" si="37"/>
        <v>160.20634920634919</v>
      </c>
      <c r="AF54" s="13">
        <f t="shared" si="38"/>
        <v>249.00000000000003</v>
      </c>
      <c r="AG54" s="13">
        <f t="shared" si="39"/>
        <v>588.20105820105834</v>
      </c>
      <c r="AH54" s="15">
        <f t="shared" si="40"/>
        <v>885.06439933523279</v>
      </c>
      <c r="AI54" s="15">
        <f t="shared" si="41"/>
        <v>10620.772792022794</v>
      </c>
      <c r="AO54" s="25"/>
    </row>
    <row r="55" spans="2:45" ht="12" customHeight="1" x14ac:dyDescent="0.2">
      <c r="B55" s="61" t="s">
        <v>440</v>
      </c>
      <c r="C55" s="58" t="s">
        <v>450</v>
      </c>
      <c r="D55" s="11">
        <v>1.63</v>
      </c>
      <c r="E55" s="11">
        <v>1.63</v>
      </c>
      <c r="F55" s="11">
        <v>1.97</v>
      </c>
      <c r="G55" s="12"/>
      <c r="H55" s="12">
        <v>1487.2050000000002</v>
      </c>
      <c r="I55" s="12">
        <v>1472.095</v>
      </c>
      <c r="J55" s="12">
        <v>1472.45</v>
      </c>
      <c r="K55" s="12">
        <v>1465.64</v>
      </c>
      <c r="L55" s="12">
        <v>1464.3649999999998</v>
      </c>
      <c r="M55" s="12">
        <v>1458.8849999999998</v>
      </c>
      <c r="N55" s="12">
        <v>1475.5350000000001</v>
      </c>
      <c r="O55" s="13">
        <v>1474.895</v>
      </c>
      <c r="P55" s="13">
        <v>1551.105</v>
      </c>
      <c r="Q55" s="13">
        <v>1547.355</v>
      </c>
      <c r="R55" s="13">
        <v>1589.55</v>
      </c>
      <c r="S55" s="13">
        <v>1562.3</v>
      </c>
      <c r="T55" s="25">
        <f t="shared" si="46"/>
        <v>18021.379999999997</v>
      </c>
      <c r="V55" s="13">
        <f t="shared" si="28"/>
        <v>912.39570552147256</v>
      </c>
      <c r="W55" s="13">
        <f t="shared" si="29"/>
        <v>903.12576687116575</v>
      </c>
      <c r="X55" s="13">
        <f t="shared" si="30"/>
        <v>903.34355828220873</v>
      </c>
      <c r="Y55" s="13">
        <f t="shared" si="31"/>
        <v>899.16564417177926</v>
      </c>
      <c r="Z55" s="13">
        <f t="shared" si="32"/>
        <v>898.38343558282202</v>
      </c>
      <c r="AA55" s="13">
        <f t="shared" si="33"/>
        <v>895.02147239263797</v>
      </c>
      <c r="AB55" s="13">
        <f t="shared" si="34"/>
        <v>905.23619631901852</v>
      </c>
      <c r="AC55" s="13">
        <f t="shared" si="35"/>
        <v>904.84355828220862</v>
      </c>
      <c r="AD55" s="13">
        <f t="shared" si="36"/>
        <v>951.59815950920256</v>
      </c>
      <c r="AE55" s="13">
        <f t="shared" si="37"/>
        <v>785.45939086294413</v>
      </c>
      <c r="AF55" s="13">
        <f t="shared" si="38"/>
        <v>806.87817258883251</v>
      </c>
      <c r="AG55" s="13">
        <f t="shared" si="39"/>
        <v>793.04568527918775</v>
      </c>
      <c r="AH55" s="15">
        <f t="shared" si="40"/>
        <v>879.87472880529015</v>
      </c>
      <c r="AI55" s="15">
        <f t="shared" si="41"/>
        <v>10558.496745663482</v>
      </c>
    </row>
    <row r="56" spans="2:45" ht="12" customHeight="1" x14ac:dyDescent="0.2">
      <c r="B56" s="61" t="s">
        <v>441</v>
      </c>
      <c r="C56" s="58" t="s">
        <v>451</v>
      </c>
      <c r="D56" s="11">
        <v>1.63</v>
      </c>
      <c r="E56" s="11">
        <v>1.63</v>
      </c>
      <c r="F56" s="11">
        <v>1.97</v>
      </c>
      <c r="G56" s="12"/>
      <c r="H56" s="12">
        <v>23801.239999999998</v>
      </c>
      <c r="I56" s="12">
        <v>23441.670000000002</v>
      </c>
      <c r="J56" s="12">
        <v>23350.789999999997</v>
      </c>
      <c r="K56" s="12">
        <v>23143.649999999998</v>
      </c>
      <c r="L56" s="12">
        <v>23465.66</v>
      </c>
      <c r="M56" s="12">
        <v>23336.269999999997</v>
      </c>
      <c r="N56" s="12">
        <v>23730.865000000002</v>
      </c>
      <c r="O56" s="13">
        <v>23660.695</v>
      </c>
      <c r="P56" s="13">
        <v>25199.94</v>
      </c>
      <c r="Q56" s="13">
        <v>25150.019999999997</v>
      </c>
      <c r="R56" s="13">
        <v>26168.814999999995</v>
      </c>
      <c r="S56" s="13">
        <v>25951.785</v>
      </c>
      <c r="T56" s="25">
        <f t="shared" si="46"/>
        <v>290401.39999999997</v>
      </c>
      <c r="V56" s="13">
        <f t="shared" si="28"/>
        <v>14601.98773006135</v>
      </c>
      <c r="W56" s="13">
        <f t="shared" si="29"/>
        <v>14381.392638036812</v>
      </c>
      <c r="X56" s="13">
        <f t="shared" si="30"/>
        <v>14325.638036809814</v>
      </c>
      <c r="Y56" s="13">
        <f t="shared" si="31"/>
        <v>14198.558282208589</v>
      </c>
      <c r="Z56" s="13">
        <f t="shared" si="32"/>
        <v>14396.110429447854</v>
      </c>
      <c r="AA56" s="13">
        <f t="shared" si="33"/>
        <v>14316.730061349692</v>
      </c>
      <c r="AB56" s="13">
        <f t="shared" si="34"/>
        <v>14558.812883435585</v>
      </c>
      <c r="AC56" s="13">
        <f t="shared" si="35"/>
        <v>14515.763803680982</v>
      </c>
      <c r="AD56" s="13">
        <f t="shared" si="36"/>
        <v>15460.085889570553</v>
      </c>
      <c r="AE56" s="13">
        <f t="shared" si="37"/>
        <v>12766.507614213197</v>
      </c>
      <c r="AF56" s="13">
        <f t="shared" si="38"/>
        <v>13283.66243654822</v>
      </c>
      <c r="AG56" s="13">
        <f t="shared" si="39"/>
        <v>13173.494923857868</v>
      </c>
      <c r="AH56" s="15">
        <f t="shared" si="40"/>
        <v>14164.895394101708</v>
      </c>
      <c r="AI56" s="15">
        <f t="shared" si="41"/>
        <v>169978.74472922049</v>
      </c>
    </row>
    <row r="57" spans="2:45" ht="12" customHeight="1" x14ac:dyDescent="0.2">
      <c r="B57" s="61" t="s">
        <v>442</v>
      </c>
      <c r="C57" s="58" t="s">
        <v>452</v>
      </c>
      <c r="D57" s="11">
        <v>1.63</v>
      </c>
      <c r="E57" s="11">
        <v>1.63</v>
      </c>
      <c r="F57" s="11">
        <v>1.97</v>
      </c>
      <c r="G57" s="12"/>
      <c r="H57" s="12">
        <v>74.209999999999994</v>
      </c>
      <c r="I57" s="12">
        <v>61.98</v>
      </c>
      <c r="J57" s="12">
        <v>6.5350000000000001</v>
      </c>
      <c r="K57" s="12">
        <v>-1.1150000000000002</v>
      </c>
      <c r="L57" s="12">
        <v>17.43</v>
      </c>
      <c r="M57" s="12">
        <v>14.379999999999999</v>
      </c>
      <c r="N57" s="12">
        <v>29.28</v>
      </c>
      <c r="O57" s="13">
        <v>29.28</v>
      </c>
      <c r="P57" s="13">
        <v>11.88</v>
      </c>
      <c r="Q57" s="13">
        <v>11.88</v>
      </c>
      <c r="R57" s="13">
        <v>27.454999999999998</v>
      </c>
      <c r="S57" s="13">
        <v>27.454999999999998</v>
      </c>
      <c r="T57" s="25">
        <f t="shared" si="46"/>
        <v>310.64999999999998</v>
      </c>
      <c r="V57" s="13">
        <f t="shared" si="28"/>
        <v>45.527607361963192</v>
      </c>
      <c r="W57" s="13">
        <f t="shared" si="29"/>
        <v>38.024539877300612</v>
      </c>
      <c r="X57" s="13">
        <f t="shared" si="30"/>
        <v>4.0092024539877302</v>
      </c>
      <c r="Y57" s="13">
        <f t="shared" si="31"/>
        <v>-0.68404907975460139</v>
      </c>
      <c r="Z57" s="13">
        <f t="shared" si="32"/>
        <v>10.693251533742332</v>
      </c>
      <c r="AA57" s="13">
        <f t="shared" si="33"/>
        <v>8.8220858895705518</v>
      </c>
      <c r="AB57" s="13">
        <f t="shared" si="34"/>
        <v>17.963190184049083</v>
      </c>
      <c r="AC57" s="13">
        <f t="shared" si="35"/>
        <v>17.963190184049083</v>
      </c>
      <c r="AD57" s="13">
        <f t="shared" si="36"/>
        <v>7.2883435582822091</v>
      </c>
      <c r="AE57" s="13">
        <f t="shared" si="37"/>
        <v>6.0304568527918789</v>
      </c>
      <c r="AF57" s="13">
        <f t="shared" si="38"/>
        <v>13.936548223350254</v>
      </c>
      <c r="AG57" s="13">
        <f t="shared" si="39"/>
        <v>13.936548223350254</v>
      </c>
      <c r="AH57" s="15">
        <f t="shared" si="40"/>
        <v>15.292576271890214</v>
      </c>
      <c r="AI57" s="15">
        <f t="shared" si="41"/>
        <v>183.51091526268257</v>
      </c>
    </row>
    <row r="58" spans="2:45" ht="12" customHeight="1" x14ac:dyDescent="0.2">
      <c r="B58" s="61" t="s">
        <v>443</v>
      </c>
      <c r="C58" s="58" t="s">
        <v>453</v>
      </c>
      <c r="D58" s="11">
        <v>15.63</v>
      </c>
      <c r="E58" s="11">
        <v>15.63</v>
      </c>
      <c r="F58" s="11">
        <v>16.13</v>
      </c>
      <c r="G58" s="12"/>
      <c r="H58" s="12">
        <v>125.04</v>
      </c>
      <c r="I58" s="12">
        <v>281.33999999999997</v>
      </c>
      <c r="J58" s="12">
        <v>46.89</v>
      </c>
      <c r="K58" s="12">
        <v>31.26</v>
      </c>
      <c r="L58" s="12">
        <v>15.63</v>
      </c>
      <c r="M58" s="12">
        <v>62.52</v>
      </c>
      <c r="N58" s="12">
        <v>109.41</v>
      </c>
      <c r="O58" s="13">
        <v>62.52</v>
      </c>
      <c r="P58" s="13">
        <v>31.26</v>
      </c>
      <c r="Q58" s="13">
        <v>48.39</v>
      </c>
      <c r="R58" s="13">
        <v>16.13</v>
      </c>
      <c r="S58" s="13">
        <v>0</v>
      </c>
      <c r="T58" s="25">
        <f t="shared" si="46"/>
        <v>830.38999999999987</v>
      </c>
      <c r="V58" s="13">
        <f t="shared" si="28"/>
        <v>8</v>
      </c>
      <c r="W58" s="13">
        <f t="shared" si="29"/>
        <v>17.999999999999996</v>
      </c>
      <c r="X58" s="13">
        <f t="shared" si="30"/>
        <v>3</v>
      </c>
      <c r="Y58" s="13">
        <f t="shared" si="31"/>
        <v>2</v>
      </c>
      <c r="Z58" s="13">
        <f t="shared" si="32"/>
        <v>1</v>
      </c>
      <c r="AA58" s="13">
        <f t="shared" si="33"/>
        <v>4</v>
      </c>
      <c r="AB58" s="13">
        <f t="shared" si="34"/>
        <v>6.9999999999999991</v>
      </c>
      <c r="AC58" s="13">
        <f t="shared" si="35"/>
        <v>4</v>
      </c>
      <c r="AD58" s="13">
        <f t="shared" si="36"/>
        <v>2</v>
      </c>
      <c r="AE58" s="13">
        <f t="shared" si="37"/>
        <v>3</v>
      </c>
      <c r="AF58" s="13">
        <f t="shared" si="38"/>
        <v>1</v>
      </c>
      <c r="AG58" s="13">
        <f t="shared" si="39"/>
        <v>0</v>
      </c>
      <c r="AH58" s="15">
        <f t="shared" si="40"/>
        <v>4.416666666666667</v>
      </c>
      <c r="AI58" s="15">
        <f t="shared" si="41"/>
        <v>53</v>
      </c>
    </row>
    <row r="59" spans="2:45" ht="12" customHeight="1" x14ac:dyDescent="0.2">
      <c r="B59" s="61" t="s">
        <v>444</v>
      </c>
      <c r="C59" s="58" t="s">
        <v>454</v>
      </c>
      <c r="D59" s="11">
        <v>6.3</v>
      </c>
      <c r="E59" s="11">
        <v>6.3</v>
      </c>
      <c r="F59" s="11">
        <v>6.5</v>
      </c>
      <c r="G59" s="12"/>
      <c r="H59" s="12">
        <v>16403.5</v>
      </c>
      <c r="I59" s="12">
        <v>45147.96</v>
      </c>
      <c r="J59" s="12">
        <v>44238.6</v>
      </c>
      <c r="K59" s="12">
        <v>32389.599999999999</v>
      </c>
      <c r="L59" s="12">
        <v>36325.800000000003</v>
      </c>
      <c r="M59" s="12">
        <v>33919.200000000004</v>
      </c>
      <c r="N59" s="12">
        <v>36489.599999999999</v>
      </c>
      <c r="O59" s="13">
        <v>32645.84</v>
      </c>
      <c r="P59" s="13">
        <v>25317.319999999996</v>
      </c>
      <c r="Q59" s="13">
        <v>7360.7999999999993</v>
      </c>
      <c r="R59" s="13">
        <v>25176.86</v>
      </c>
      <c r="S59" s="13">
        <v>33318.080000000002</v>
      </c>
      <c r="T59" s="25">
        <f t="shared" si="46"/>
        <v>368733.16000000003</v>
      </c>
      <c r="V59" s="13">
        <f t="shared" si="28"/>
        <v>2603.730158730159</v>
      </c>
      <c r="W59" s="13">
        <f t="shared" si="29"/>
        <v>7166.3428571428576</v>
      </c>
      <c r="X59" s="13">
        <f t="shared" si="30"/>
        <v>7022</v>
      </c>
      <c r="Y59" s="13">
        <f t="shared" si="31"/>
        <v>5141.2063492063489</v>
      </c>
      <c r="Z59" s="13">
        <f t="shared" si="32"/>
        <v>5766.0000000000009</v>
      </c>
      <c r="AA59" s="13">
        <f t="shared" si="33"/>
        <v>5384.0000000000009</v>
      </c>
      <c r="AB59" s="13">
        <f t="shared" si="34"/>
        <v>5792</v>
      </c>
      <c r="AC59" s="13">
        <f t="shared" si="35"/>
        <v>5181.879365079365</v>
      </c>
      <c r="AD59" s="13">
        <f t="shared" si="36"/>
        <v>4018.6222222222218</v>
      </c>
      <c r="AE59" s="13">
        <f t="shared" si="37"/>
        <v>1132.4307692307691</v>
      </c>
      <c r="AF59" s="13">
        <f t="shared" si="38"/>
        <v>3873.3630769230772</v>
      </c>
      <c r="AG59" s="13">
        <f t="shared" si="39"/>
        <v>5125.8584615384616</v>
      </c>
      <c r="AH59" s="15">
        <f t="shared" si="40"/>
        <v>4850.6194383394386</v>
      </c>
      <c r="AI59" s="15">
        <f t="shared" si="41"/>
        <v>58207.433260073267</v>
      </c>
    </row>
    <row r="60" spans="2:45" ht="12" customHeight="1" x14ac:dyDescent="0.2">
      <c r="B60" s="61" t="s">
        <v>445</v>
      </c>
      <c r="C60" s="58" t="s">
        <v>455</v>
      </c>
      <c r="D60" s="11">
        <v>11.38</v>
      </c>
      <c r="E60" s="11">
        <v>11.38</v>
      </c>
      <c r="F60" s="11">
        <v>11.74</v>
      </c>
      <c r="G60" s="12"/>
      <c r="H60" s="12">
        <v>91.04</v>
      </c>
      <c r="I60" s="12">
        <v>91.04</v>
      </c>
      <c r="J60" s="12">
        <v>34.14</v>
      </c>
      <c r="K60" s="12">
        <v>0</v>
      </c>
      <c r="L60" s="12">
        <v>11.38</v>
      </c>
      <c r="M60" s="12">
        <v>45.52</v>
      </c>
      <c r="N60" s="12">
        <v>11.38</v>
      </c>
      <c r="O60" s="13">
        <v>11.38</v>
      </c>
      <c r="P60" s="13">
        <v>0</v>
      </c>
      <c r="Q60" s="13">
        <v>11.74</v>
      </c>
      <c r="R60" s="13">
        <v>11.74</v>
      </c>
      <c r="S60" s="13">
        <v>0</v>
      </c>
      <c r="T60" s="25">
        <f t="shared" si="46"/>
        <v>319.36</v>
      </c>
      <c r="V60" s="13">
        <f t="shared" si="28"/>
        <v>8</v>
      </c>
      <c r="W60" s="13">
        <f t="shared" si="29"/>
        <v>8</v>
      </c>
      <c r="X60" s="13">
        <f t="shared" si="30"/>
        <v>3</v>
      </c>
      <c r="Y60" s="13">
        <f t="shared" si="31"/>
        <v>0</v>
      </c>
      <c r="Z60" s="13">
        <f t="shared" si="32"/>
        <v>1</v>
      </c>
      <c r="AA60" s="13">
        <f t="shared" si="33"/>
        <v>4</v>
      </c>
      <c r="AB60" s="13">
        <f t="shared" si="34"/>
        <v>1</v>
      </c>
      <c r="AC60" s="13">
        <f t="shared" si="35"/>
        <v>1</v>
      </c>
      <c r="AD60" s="13">
        <f t="shared" si="36"/>
        <v>0</v>
      </c>
      <c r="AE60" s="13">
        <f t="shared" si="37"/>
        <v>1</v>
      </c>
      <c r="AF60" s="13">
        <f t="shared" si="38"/>
        <v>1</v>
      </c>
      <c r="AG60" s="13">
        <f t="shared" si="39"/>
        <v>0</v>
      </c>
      <c r="AH60" s="15">
        <f t="shared" si="40"/>
        <v>2.3333333333333335</v>
      </c>
      <c r="AI60" s="15">
        <f t="shared" si="41"/>
        <v>28</v>
      </c>
    </row>
    <row r="61" spans="2:45" ht="12" customHeight="1" x14ac:dyDescent="0.2">
      <c r="B61" s="61" t="s">
        <v>954</v>
      </c>
      <c r="C61" s="58" t="s">
        <v>446</v>
      </c>
      <c r="D61" s="11">
        <v>16.88</v>
      </c>
      <c r="E61" s="11">
        <v>16.88</v>
      </c>
      <c r="F61" s="11">
        <v>17.420000000000002</v>
      </c>
      <c r="G61" s="12"/>
      <c r="H61" s="12">
        <v>0</v>
      </c>
      <c r="I61" s="12">
        <v>0</v>
      </c>
      <c r="J61" s="12">
        <v>0</v>
      </c>
      <c r="K61" s="12">
        <v>0</v>
      </c>
      <c r="L61" s="12">
        <v>0</v>
      </c>
      <c r="M61" s="12">
        <v>-4.5199999999999996</v>
      </c>
      <c r="N61" s="12">
        <v>0</v>
      </c>
      <c r="O61" s="13">
        <v>0</v>
      </c>
      <c r="P61" s="13">
        <v>0</v>
      </c>
      <c r="Q61" s="13">
        <v>0</v>
      </c>
      <c r="R61" s="13">
        <v>0</v>
      </c>
      <c r="S61" s="13">
        <v>0</v>
      </c>
      <c r="T61" s="25">
        <f t="shared" si="46"/>
        <v>-4.5199999999999996</v>
      </c>
      <c r="V61" s="13">
        <f t="shared" si="28"/>
        <v>0</v>
      </c>
      <c r="W61" s="13">
        <f t="shared" si="29"/>
        <v>0</v>
      </c>
      <c r="X61" s="13">
        <f t="shared" si="30"/>
        <v>0</v>
      </c>
      <c r="Y61" s="13">
        <f t="shared" si="31"/>
        <v>0</v>
      </c>
      <c r="Z61" s="13">
        <f t="shared" si="32"/>
        <v>0</v>
      </c>
      <c r="AA61" s="13">
        <f t="shared" si="33"/>
        <v>-0.26777251184834122</v>
      </c>
      <c r="AB61" s="13">
        <f t="shared" si="34"/>
        <v>0</v>
      </c>
      <c r="AC61" s="13">
        <f t="shared" si="35"/>
        <v>0</v>
      </c>
      <c r="AD61" s="13">
        <f t="shared" si="36"/>
        <v>0</v>
      </c>
      <c r="AE61" s="13">
        <f t="shared" si="37"/>
        <v>0</v>
      </c>
      <c r="AF61" s="13">
        <f t="shared" si="38"/>
        <v>0</v>
      </c>
      <c r="AG61" s="13">
        <f t="shared" si="39"/>
        <v>0</v>
      </c>
      <c r="AH61" s="15">
        <f t="shared" si="40"/>
        <v>-2.231437598736177E-2</v>
      </c>
      <c r="AI61" s="15">
        <f t="shared" si="41"/>
        <v>-0.26777251184834122</v>
      </c>
    </row>
    <row r="62" spans="2:45" ht="12" customHeight="1" x14ac:dyDescent="0.2">
      <c r="B62" s="61" t="s">
        <v>1234</v>
      </c>
      <c r="C62" s="58" t="s">
        <v>1235</v>
      </c>
      <c r="D62" s="11">
        <v>8.44</v>
      </c>
      <c r="E62" s="11">
        <v>8.44</v>
      </c>
      <c r="F62" s="11">
        <v>8.7100000000000009</v>
      </c>
      <c r="G62" s="12"/>
      <c r="H62" s="12">
        <v>0</v>
      </c>
      <c r="I62" s="12">
        <v>0</v>
      </c>
      <c r="J62" s="12">
        <v>0</v>
      </c>
      <c r="K62" s="12">
        <v>0</v>
      </c>
      <c r="L62" s="12">
        <v>4.22</v>
      </c>
      <c r="M62" s="12">
        <v>8.44</v>
      </c>
      <c r="N62" s="12">
        <v>16.88</v>
      </c>
      <c r="O62" s="13">
        <v>16.88</v>
      </c>
      <c r="P62" s="13">
        <v>16.88</v>
      </c>
      <c r="Q62" s="13">
        <v>8.7100000000000009</v>
      </c>
      <c r="R62" s="13">
        <v>8.7100000000000009</v>
      </c>
      <c r="S62" s="13">
        <v>8.7100000000000009</v>
      </c>
      <c r="T62" s="25">
        <f>SUM(H62:S62)</f>
        <v>89.43</v>
      </c>
      <c r="V62" s="13">
        <f t="shared" si="28"/>
        <v>0</v>
      </c>
      <c r="W62" s="13">
        <f t="shared" si="29"/>
        <v>0</v>
      </c>
      <c r="X62" s="13">
        <f t="shared" si="30"/>
        <v>0</v>
      </c>
      <c r="Y62" s="13">
        <f t="shared" si="31"/>
        <v>0</v>
      </c>
      <c r="Z62" s="13">
        <f t="shared" si="32"/>
        <v>0.5</v>
      </c>
      <c r="AA62" s="13">
        <f t="shared" si="33"/>
        <v>1</v>
      </c>
      <c r="AB62" s="13">
        <f t="shared" si="34"/>
        <v>2</v>
      </c>
      <c r="AC62" s="13">
        <f t="shared" si="35"/>
        <v>2</v>
      </c>
      <c r="AD62" s="13">
        <f t="shared" si="36"/>
        <v>2</v>
      </c>
      <c r="AE62" s="13">
        <f t="shared" si="37"/>
        <v>1</v>
      </c>
      <c r="AF62" s="13">
        <f t="shared" si="38"/>
        <v>1</v>
      </c>
      <c r="AG62" s="13">
        <f t="shared" si="39"/>
        <v>1</v>
      </c>
      <c r="AH62" s="15">
        <f>+IFERROR(AVERAGE(V62:AG62),0)</f>
        <v>0.875</v>
      </c>
      <c r="AI62" s="15">
        <f>+SUM(V62:AG62)</f>
        <v>10.5</v>
      </c>
    </row>
    <row r="63" spans="2:45" ht="12" customHeight="1" x14ac:dyDescent="0.2">
      <c r="B63" s="61" t="s">
        <v>1047</v>
      </c>
      <c r="C63" s="58" t="s">
        <v>1048</v>
      </c>
      <c r="D63" s="11">
        <v>0</v>
      </c>
      <c r="E63" s="11">
        <v>0</v>
      </c>
      <c r="F63" s="11">
        <v>0</v>
      </c>
      <c r="G63" s="12"/>
      <c r="H63" s="12">
        <v>0</v>
      </c>
      <c r="I63" s="12">
        <v>0</v>
      </c>
      <c r="J63" s="12">
        <v>0</v>
      </c>
      <c r="K63" s="12">
        <v>0</v>
      </c>
      <c r="L63" s="12">
        <v>0</v>
      </c>
      <c r="M63" s="12">
        <v>0</v>
      </c>
      <c r="N63" s="12">
        <v>0</v>
      </c>
      <c r="O63" s="13">
        <v>0</v>
      </c>
      <c r="P63" s="13">
        <v>0</v>
      </c>
      <c r="Q63" s="13">
        <v>0</v>
      </c>
      <c r="R63" s="13">
        <v>0</v>
      </c>
      <c r="S63" s="13">
        <v>0</v>
      </c>
      <c r="T63" s="25">
        <f t="shared" si="46"/>
        <v>0</v>
      </c>
      <c r="V63" s="13">
        <f t="shared" si="28"/>
        <v>0</v>
      </c>
      <c r="W63" s="13">
        <f t="shared" si="29"/>
        <v>0</v>
      </c>
      <c r="X63" s="13">
        <f t="shared" si="30"/>
        <v>0</v>
      </c>
      <c r="Y63" s="13">
        <f t="shared" si="31"/>
        <v>0</v>
      </c>
      <c r="Z63" s="13">
        <f t="shared" si="32"/>
        <v>0</v>
      </c>
      <c r="AA63" s="13">
        <f t="shared" si="33"/>
        <v>0</v>
      </c>
      <c r="AB63" s="13">
        <f t="shared" si="34"/>
        <v>0</v>
      </c>
      <c r="AC63" s="13">
        <f t="shared" si="35"/>
        <v>0</v>
      </c>
      <c r="AD63" s="13">
        <f t="shared" si="36"/>
        <v>0</v>
      </c>
      <c r="AE63" s="13">
        <f t="shared" si="37"/>
        <v>0</v>
      </c>
      <c r="AF63" s="13">
        <f t="shared" si="38"/>
        <v>0</v>
      </c>
      <c r="AG63" s="13">
        <f t="shared" si="39"/>
        <v>0</v>
      </c>
      <c r="AH63" s="15">
        <f t="shared" si="40"/>
        <v>0</v>
      </c>
      <c r="AI63" s="15">
        <f t="shared" si="41"/>
        <v>0</v>
      </c>
    </row>
    <row r="64" spans="2:45" ht="12" customHeight="1" x14ac:dyDescent="0.2">
      <c r="B64" s="30"/>
      <c r="C64" s="30"/>
      <c r="D64" s="11"/>
      <c r="E64" s="11"/>
      <c r="F64" s="11"/>
      <c r="G64" s="12"/>
      <c r="V64" s="25"/>
      <c r="W64" s="25"/>
      <c r="X64" s="25"/>
      <c r="Y64" s="25"/>
      <c r="Z64" s="25"/>
      <c r="AA64" s="25"/>
      <c r="AB64" s="25"/>
      <c r="AC64" s="25"/>
      <c r="AD64" s="25"/>
      <c r="AE64" s="25"/>
      <c r="AF64" s="25"/>
      <c r="AG64" s="25"/>
    </row>
    <row r="65" spans="1:45" ht="12" customHeight="1" x14ac:dyDescent="0.2">
      <c r="B65" s="26"/>
      <c r="C65" s="31" t="s">
        <v>8</v>
      </c>
      <c r="D65" s="11"/>
      <c r="E65" s="11"/>
      <c r="F65" s="11"/>
      <c r="G65" s="21"/>
      <c r="H65" s="23">
        <f t="shared" ref="H65:T65" si="47">SUM(H48:H64)</f>
        <v>276287.65499999997</v>
      </c>
      <c r="I65" s="23">
        <f t="shared" si="47"/>
        <v>306831.25</v>
      </c>
      <c r="J65" s="23">
        <f t="shared" si="47"/>
        <v>314282.80500000005</v>
      </c>
      <c r="K65" s="23">
        <f t="shared" si="47"/>
        <v>300032.36</v>
      </c>
      <c r="L65" s="23">
        <f t="shared" si="47"/>
        <v>305545.78999999992</v>
      </c>
      <c r="M65" s="23">
        <f t="shared" si="47"/>
        <v>301896.59000000003</v>
      </c>
      <c r="N65" s="23">
        <f t="shared" si="47"/>
        <v>305391.96000000002</v>
      </c>
      <c r="O65" s="23">
        <f t="shared" si="47"/>
        <v>304230.48000000004</v>
      </c>
      <c r="P65" s="23">
        <f t="shared" si="47"/>
        <v>293345.84500000003</v>
      </c>
      <c r="Q65" s="23">
        <f t="shared" si="47"/>
        <v>271027.04500000004</v>
      </c>
      <c r="R65" s="23">
        <f t="shared" si="47"/>
        <v>291469.685</v>
      </c>
      <c r="S65" s="23">
        <f t="shared" si="47"/>
        <v>299984.67500000005</v>
      </c>
      <c r="T65" s="23">
        <f t="shared" si="47"/>
        <v>3570326.14</v>
      </c>
      <c r="V65" s="180">
        <f t="shared" ref="V65:AI65" si="48">SUM(V48:V53)</f>
        <v>32333.974999999999</v>
      </c>
      <c r="W65" s="180">
        <f t="shared" si="48"/>
        <v>32232.450694444447</v>
      </c>
      <c r="X65" s="180">
        <f t="shared" si="48"/>
        <v>33522.788888888892</v>
      </c>
      <c r="Y65" s="180">
        <f t="shared" si="48"/>
        <v>33359.781249999993</v>
      </c>
      <c r="Z65" s="180">
        <f t="shared" si="48"/>
        <v>33552.663194444438</v>
      </c>
      <c r="AA65" s="180">
        <f t="shared" si="48"/>
        <v>33345.821527777771</v>
      </c>
      <c r="AB65" s="180">
        <f t="shared" si="48"/>
        <v>33405.259722222225</v>
      </c>
      <c r="AC65" s="180">
        <f t="shared" si="48"/>
        <v>33149.548611111109</v>
      </c>
      <c r="AD65" s="180">
        <f t="shared" si="48"/>
        <v>33141.824999999997</v>
      </c>
      <c r="AE65" s="180">
        <f t="shared" si="48"/>
        <v>27127.734787600457</v>
      </c>
      <c r="AF65" s="180">
        <f t="shared" si="48"/>
        <v>27270.861653272099</v>
      </c>
      <c r="AG65" s="180">
        <f t="shared" si="48"/>
        <v>27197.8122847302</v>
      </c>
      <c r="AH65" s="180">
        <f t="shared" si="48"/>
        <v>31636.710217874308</v>
      </c>
      <c r="AI65" s="180">
        <f t="shared" si="48"/>
        <v>379640.5226144917</v>
      </c>
      <c r="AM65" s="213">
        <f>+SUM(AM48:AM53)</f>
        <v>31636.710217874308</v>
      </c>
      <c r="AO65" s="213">
        <f>+SUM(AO48:AO53)</f>
        <v>0</v>
      </c>
      <c r="AQ65" s="213">
        <f>+SUM(AQ48:AQ53)</f>
        <v>0</v>
      </c>
      <c r="AS65" s="213">
        <f>+SUM(AS48:AS53)</f>
        <v>0</v>
      </c>
    </row>
    <row r="66" spans="1:45" ht="12" customHeight="1" x14ac:dyDescent="0.2">
      <c r="B66" s="26"/>
      <c r="C66" s="26"/>
      <c r="D66" s="11"/>
      <c r="E66" s="11"/>
      <c r="F66" s="11"/>
      <c r="G66" s="11"/>
      <c r="H66" s="12"/>
      <c r="I66" s="13" t="str">
        <f>IF(G66="","",(#REF!/G66)+(#REF!/#REF!))</f>
        <v/>
      </c>
      <c r="J66" s="13" t="str">
        <f>IF(G66="","",I66/12)</f>
        <v/>
      </c>
      <c r="V66" s="25"/>
      <c r="W66" s="25"/>
      <c r="X66" s="25"/>
      <c r="Y66" s="25"/>
      <c r="Z66" s="25"/>
      <c r="AA66" s="25"/>
      <c r="AB66" s="25"/>
      <c r="AC66" s="25"/>
      <c r="AD66" s="25"/>
      <c r="AE66" s="25"/>
      <c r="AF66" s="25"/>
      <c r="AG66" s="25"/>
    </row>
    <row r="67" spans="1:45" ht="12" customHeight="1" x14ac:dyDescent="0.2">
      <c r="B67" s="27" t="s">
        <v>9</v>
      </c>
      <c r="C67" s="27" t="s">
        <v>9</v>
      </c>
      <c r="D67" s="11"/>
      <c r="E67" s="11"/>
      <c r="F67" s="11"/>
      <c r="G67" s="11"/>
      <c r="H67" s="12"/>
      <c r="I67" s="13" t="str">
        <f>IF(G67="","",(#REF!/G67)+(#REF!/#REF!))</f>
        <v/>
      </c>
      <c r="J67" s="13" t="str">
        <f>IF(G67="","",I67/12)</f>
        <v/>
      </c>
      <c r="V67" s="25"/>
      <c r="W67" s="25"/>
      <c r="X67" s="25"/>
      <c r="Y67" s="25"/>
      <c r="Z67" s="25"/>
      <c r="AA67" s="25"/>
      <c r="AB67" s="25"/>
      <c r="AC67" s="25"/>
      <c r="AD67" s="25"/>
      <c r="AE67" s="25"/>
      <c r="AF67" s="25"/>
      <c r="AG67" s="25"/>
    </row>
    <row r="68" spans="1:45" ht="12" customHeight="1" x14ac:dyDescent="0.2">
      <c r="B68" s="27"/>
      <c r="C68" s="27"/>
      <c r="D68" s="11"/>
      <c r="E68" s="11"/>
      <c r="F68" s="11"/>
      <c r="G68" s="11"/>
      <c r="H68" s="12"/>
      <c r="I68" s="13" t="str">
        <f>IF(G68="","",(#REF!/G68)+(#REF!/#REF!))</f>
        <v/>
      </c>
      <c r="J68" s="13" t="str">
        <f>IF(G68="","",I68/12)</f>
        <v/>
      </c>
      <c r="V68" s="25"/>
      <c r="W68" s="25"/>
      <c r="X68" s="25"/>
      <c r="Y68" s="25"/>
      <c r="Z68" s="25"/>
      <c r="AA68" s="25"/>
      <c r="AB68" s="25"/>
      <c r="AC68" s="25"/>
      <c r="AD68" s="25"/>
      <c r="AE68" s="25"/>
      <c r="AF68" s="25"/>
      <c r="AG68" s="25"/>
    </row>
    <row r="69" spans="1:45" ht="12" customHeight="1" x14ac:dyDescent="0.2">
      <c r="B69" s="29" t="s">
        <v>12</v>
      </c>
      <c r="C69" s="29" t="s">
        <v>12</v>
      </c>
      <c r="D69" s="11"/>
      <c r="E69" s="11"/>
      <c r="F69" s="11"/>
      <c r="G69" s="11"/>
      <c r="H69" s="12"/>
      <c r="I69" s="13" t="str">
        <f>IF(G69="","",(#REF!/G69)+(#REF!/#REF!))</f>
        <v/>
      </c>
      <c r="J69" s="13" t="str">
        <f>IF(G69="","",I69/12)</f>
        <v/>
      </c>
      <c r="V69" s="25"/>
      <c r="W69" s="25"/>
      <c r="X69" s="25"/>
      <c r="Y69" s="25"/>
      <c r="Z69" s="25"/>
      <c r="AA69" s="25"/>
      <c r="AB69" s="25"/>
      <c r="AC69" s="25"/>
      <c r="AD69" s="25"/>
      <c r="AE69" s="25"/>
      <c r="AF69" s="25"/>
      <c r="AG69" s="25"/>
      <c r="AS69" s="25"/>
    </row>
    <row r="70" spans="1:45" s="241" customFormat="1" ht="12" customHeight="1" x14ac:dyDescent="0.2">
      <c r="A70" s="253" t="str">
        <f>"all"&amp;"recycling"&amp;B70</f>
        <v>allrecyclingCRY1.5Y1X</v>
      </c>
      <c r="B70" s="250" t="s">
        <v>456</v>
      </c>
      <c r="C70" s="232" t="s">
        <v>538</v>
      </c>
      <c r="D70" s="238">
        <v>149.63999999999993</v>
      </c>
      <c r="E70" s="238">
        <v>157.11999999999998</v>
      </c>
      <c r="F70" s="238">
        <v>157.11999999999998</v>
      </c>
      <c r="G70" s="238"/>
      <c r="H70" s="233">
        <v>1289.46</v>
      </c>
      <c r="I70" s="233">
        <v>1289.46</v>
      </c>
      <c r="J70" s="233">
        <v>1364.28</v>
      </c>
      <c r="K70" s="233">
        <v>1511.04</v>
      </c>
      <c r="L70" s="233">
        <v>1538.31</v>
      </c>
      <c r="M70" s="233">
        <v>1538.31</v>
      </c>
      <c r="N70" s="233">
        <v>1577.59</v>
      </c>
      <c r="O70" s="240">
        <v>1695.43</v>
      </c>
      <c r="P70" s="240">
        <v>1538.31</v>
      </c>
      <c r="Q70" s="240">
        <v>1538.31</v>
      </c>
      <c r="R70" s="240">
        <v>1538.31</v>
      </c>
      <c r="S70" s="240">
        <v>1538.31</v>
      </c>
      <c r="T70" s="240">
        <f t="shared" ref="T70:T135" si="49">SUM(H70:S70)</f>
        <v>17957.12</v>
      </c>
      <c r="V70" s="240">
        <f t="shared" ref="V70:V133" si="50">IFERROR(H70/$D70,0)</f>
        <v>8.6170809943865319</v>
      </c>
      <c r="W70" s="240">
        <f t="shared" ref="W70:W133" si="51">IFERROR(I70/$D70,0)</f>
        <v>8.6170809943865319</v>
      </c>
      <c r="X70" s="240">
        <f t="shared" ref="X70:X133" si="52">IFERROR(J70/$D70,0)</f>
        <v>9.1170809943865319</v>
      </c>
      <c r="Y70" s="240">
        <f t="shared" ref="Y70:Y133" si="53">IFERROR(K70/$E70,0)</f>
        <v>9.617107942973524</v>
      </c>
      <c r="Z70" s="240">
        <f t="shared" ref="Z70:Z133" si="54">IFERROR(L70/$E70,0)</f>
        <v>9.7906695519348279</v>
      </c>
      <c r="AA70" s="240">
        <f t="shared" ref="AA70:AA133" si="55">IFERROR(M70/$E70,0)</f>
        <v>9.7906695519348279</v>
      </c>
      <c r="AB70" s="240">
        <f t="shared" ref="AB70:AB133" si="56">IFERROR(N70/$E70,0)</f>
        <v>10.040669551934828</v>
      </c>
      <c r="AC70" s="240">
        <f t="shared" ref="AC70:AC133" si="57">IFERROR(O70/$E70,0)</f>
        <v>10.79066955193483</v>
      </c>
      <c r="AD70" s="240">
        <f t="shared" ref="AD70:AD133" si="58">IFERROR(P70/$E70,0)</f>
        <v>9.7906695519348279</v>
      </c>
      <c r="AE70" s="240">
        <f t="shared" ref="AE70:AE133" si="59">IFERROR(Q70/$F70,0)</f>
        <v>9.7906695519348279</v>
      </c>
      <c r="AF70" s="240">
        <f t="shared" ref="AF70:AF133" si="60">IFERROR(R70/$F70,0)</f>
        <v>9.7906695519348279</v>
      </c>
      <c r="AG70" s="240">
        <f t="shared" ref="AG70:AG133" si="61">IFERROR(S70/$F70,0)</f>
        <v>9.7906695519348279</v>
      </c>
      <c r="AH70" s="242">
        <f>+IFERROR(AVERAGE(V70:AG70),0)</f>
        <v>9.6286422784676446</v>
      </c>
      <c r="AI70" s="242">
        <f t="shared" ref="AI70:AI134" si="62">+SUM(V70:AG70)</f>
        <v>115.54370734161174</v>
      </c>
      <c r="AM70" s="240">
        <f>+$AH70*AL70</f>
        <v>0</v>
      </c>
      <c r="AN70" s="241">
        <v>1</v>
      </c>
      <c r="AO70" s="240">
        <f>+$AH70*AN70</f>
        <v>9.6286422784676446</v>
      </c>
      <c r="AQ70" s="240">
        <f t="shared" ref="AQ70:AQ101" si="63">+$AH70*AP70</f>
        <v>0</v>
      </c>
      <c r="AS70" s="240">
        <f t="shared" ref="AS70:AS101" si="64">+$AH70*AR70</f>
        <v>0</v>
      </c>
    </row>
    <row r="71" spans="1:45" s="241" customFormat="1" ht="12" customHeight="1" x14ac:dyDescent="0.2">
      <c r="A71" s="253" t="str">
        <f t="shared" ref="A71:A153" si="65">"all"&amp;"recycling"&amp;B71</f>
        <v>allrecyclingCRY1.5Y2X</v>
      </c>
      <c r="B71" s="250" t="s">
        <v>878</v>
      </c>
      <c r="C71" s="232" t="s">
        <v>889</v>
      </c>
      <c r="D71" s="238">
        <v>271.59999999999997</v>
      </c>
      <c r="E71" s="238">
        <v>285.18</v>
      </c>
      <c r="F71" s="238">
        <v>285.18</v>
      </c>
      <c r="G71" s="238"/>
      <c r="H71" s="233">
        <v>271.60000000000002</v>
      </c>
      <c r="I71" s="233">
        <v>271.60000000000002</v>
      </c>
      <c r="J71" s="233">
        <v>271.60000000000002</v>
      </c>
      <c r="K71" s="233">
        <v>285.18</v>
      </c>
      <c r="L71" s="233">
        <v>285.18</v>
      </c>
      <c r="M71" s="233">
        <v>285.18</v>
      </c>
      <c r="N71" s="233">
        <v>285.18</v>
      </c>
      <c r="O71" s="240">
        <v>285.18</v>
      </c>
      <c r="P71" s="240">
        <v>285.18</v>
      </c>
      <c r="Q71" s="240">
        <v>285.18</v>
      </c>
      <c r="R71" s="240">
        <v>285.18</v>
      </c>
      <c r="S71" s="240">
        <v>285.18</v>
      </c>
      <c r="T71" s="240">
        <f t="shared" si="49"/>
        <v>3381.4199999999996</v>
      </c>
      <c r="V71" s="240">
        <f t="shared" si="50"/>
        <v>1.0000000000000002</v>
      </c>
      <c r="W71" s="240">
        <f t="shared" si="51"/>
        <v>1.0000000000000002</v>
      </c>
      <c r="X71" s="240">
        <f t="shared" si="52"/>
        <v>1.0000000000000002</v>
      </c>
      <c r="Y71" s="240">
        <f t="shared" si="53"/>
        <v>1</v>
      </c>
      <c r="Z71" s="240">
        <f t="shared" si="54"/>
        <v>1</v>
      </c>
      <c r="AA71" s="240">
        <f t="shared" si="55"/>
        <v>1</v>
      </c>
      <c r="AB71" s="240">
        <f t="shared" si="56"/>
        <v>1</v>
      </c>
      <c r="AC71" s="240">
        <f t="shared" si="57"/>
        <v>1</v>
      </c>
      <c r="AD71" s="240">
        <f t="shared" si="58"/>
        <v>1</v>
      </c>
      <c r="AE71" s="240">
        <f t="shared" si="59"/>
        <v>1</v>
      </c>
      <c r="AF71" s="240">
        <f t="shared" si="60"/>
        <v>1</v>
      </c>
      <c r="AG71" s="240">
        <f t="shared" si="61"/>
        <v>1</v>
      </c>
      <c r="AH71" s="242">
        <f t="shared" ref="AH71:AH110" si="66">+IFERROR(AVERAGE(V71:AG71),0)</f>
        <v>1</v>
      </c>
      <c r="AI71" s="242">
        <f t="shared" si="62"/>
        <v>12</v>
      </c>
      <c r="AM71" s="240">
        <f t="shared" ref="AM71:AO130" si="67">+$AH71*AL71</f>
        <v>0</v>
      </c>
      <c r="AN71" s="241">
        <v>1</v>
      </c>
      <c r="AO71" s="240">
        <f t="shared" si="67"/>
        <v>1</v>
      </c>
      <c r="AQ71" s="240">
        <f t="shared" si="63"/>
        <v>0</v>
      </c>
      <c r="AS71" s="240">
        <f t="shared" si="64"/>
        <v>0</v>
      </c>
    </row>
    <row r="72" spans="1:45" s="241" customFormat="1" ht="12" customHeight="1" x14ac:dyDescent="0.2">
      <c r="A72" s="253" t="str">
        <f t="shared" si="65"/>
        <v>allrecyclingCRY1.5EOW</v>
      </c>
      <c r="B72" s="250" t="s">
        <v>1184</v>
      </c>
      <c r="C72" s="232" t="s">
        <v>539</v>
      </c>
      <c r="D72" s="238">
        <v>91.690000000000012</v>
      </c>
      <c r="E72" s="238">
        <v>96.27</v>
      </c>
      <c r="F72" s="238">
        <v>96.27</v>
      </c>
      <c r="G72" s="238"/>
      <c r="H72" s="240">
        <v>1088.31</v>
      </c>
      <c r="I72" s="240">
        <v>1042.46</v>
      </c>
      <c r="J72" s="240">
        <v>996.62</v>
      </c>
      <c r="K72" s="240">
        <v>1046.4100000000001</v>
      </c>
      <c r="L72" s="240">
        <v>1046.4100000000001</v>
      </c>
      <c r="M72" s="240">
        <v>1046.4100000000001</v>
      </c>
      <c r="N72" s="240">
        <v>1046.4100000000001</v>
      </c>
      <c r="O72" s="240">
        <v>1046.4100000000001</v>
      </c>
      <c r="P72" s="240">
        <v>1046.4100000000001</v>
      </c>
      <c r="Q72" s="240">
        <v>1046.4100000000001</v>
      </c>
      <c r="R72" s="240">
        <v>1046.4100000000001</v>
      </c>
      <c r="S72" s="240">
        <v>1046.4100000000001</v>
      </c>
      <c r="T72" s="240">
        <f t="shared" si="49"/>
        <v>12545.08</v>
      </c>
      <c r="V72" s="240">
        <f t="shared" si="50"/>
        <v>11.869451412367759</v>
      </c>
      <c r="W72" s="240">
        <f t="shared" si="51"/>
        <v>11.369396880793978</v>
      </c>
      <c r="X72" s="240">
        <f t="shared" si="52"/>
        <v>10.869451412367759</v>
      </c>
      <c r="Y72" s="240">
        <f t="shared" si="53"/>
        <v>10.869533603407085</v>
      </c>
      <c r="Z72" s="240">
        <f t="shared" si="54"/>
        <v>10.869533603407085</v>
      </c>
      <c r="AA72" s="240">
        <f t="shared" si="55"/>
        <v>10.869533603407085</v>
      </c>
      <c r="AB72" s="240">
        <f t="shared" si="56"/>
        <v>10.869533603407085</v>
      </c>
      <c r="AC72" s="240">
        <f t="shared" si="57"/>
        <v>10.869533603407085</v>
      </c>
      <c r="AD72" s="240">
        <f t="shared" si="58"/>
        <v>10.869533603407085</v>
      </c>
      <c r="AE72" s="240">
        <f t="shared" si="59"/>
        <v>10.869533603407085</v>
      </c>
      <c r="AF72" s="240">
        <f t="shared" si="60"/>
        <v>10.869533603407085</v>
      </c>
      <c r="AG72" s="240">
        <f t="shared" si="61"/>
        <v>10.869533603407085</v>
      </c>
      <c r="AH72" s="242">
        <f t="shared" si="66"/>
        <v>10.994508511349443</v>
      </c>
      <c r="AI72" s="242">
        <f t="shared" si="62"/>
        <v>131.9341021361933</v>
      </c>
      <c r="AM72" s="240">
        <f t="shared" si="67"/>
        <v>0</v>
      </c>
      <c r="AN72" s="241">
        <v>1</v>
      </c>
      <c r="AO72" s="240">
        <f t="shared" si="67"/>
        <v>10.994508511349443</v>
      </c>
      <c r="AQ72" s="240">
        <f t="shared" si="63"/>
        <v>0</v>
      </c>
      <c r="AS72" s="240">
        <f t="shared" si="64"/>
        <v>0</v>
      </c>
    </row>
    <row r="73" spans="1:45" s="241" customFormat="1" ht="12" customHeight="1" x14ac:dyDescent="0.2">
      <c r="A73" s="253" t="str">
        <f>"all"&amp;"recycling"&amp;B73</f>
        <v>allrecyclingCRY1Y1X</v>
      </c>
      <c r="B73" s="250" t="s">
        <v>457</v>
      </c>
      <c r="C73" s="232" t="s">
        <v>540</v>
      </c>
      <c r="D73" s="238">
        <v>122.18000000000005</v>
      </c>
      <c r="E73" s="238">
        <v>128.29</v>
      </c>
      <c r="F73" s="238">
        <v>128.29</v>
      </c>
      <c r="G73" s="238"/>
      <c r="H73" s="240">
        <v>4262.0599999999995</v>
      </c>
      <c r="I73" s="240">
        <v>4414.79</v>
      </c>
      <c r="J73" s="240">
        <v>4353.7</v>
      </c>
      <c r="K73" s="240">
        <v>4494.97</v>
      </c>
      <c r="L73" s="240">
        <v>4494.97</v>
      </c>
      <c r="M73" s="240">
        <v>4591.18</v>
      </c>
      <c r="N73" s="240">
        <v>4462.8999999999996</v>
      </c>
      <c r="O73" s="240">
        <v>4206.32</v>
      </c>
      <c r="P73" s="240">
        <v>4045.96</v>
      </c>
      <c r="Q73" s="240">
        <v>4050.7999999999997</v>
      </c>
      <c r="R73" s="240">
        <v>4211.16</v>
      </c>
      <c r="S73" s="240">
        <v>4201.59</v>
      </c>
      <c r="T73" s="240">
        <f t="shared" si="49"/>
        <v>51790.399999999994</v>
      </c>
      <c r="V73" s="240">
        <f t="shared" si="50"/>
        <v>34.883450646586986</v>
      </c>
      <c r="W73" s="240">
        <f t="shared" si="51"/>
        <v>36.133491569815014</v>
      </c>
      <c r="X73" s="240">
        <f t="shared" si="52"/>
        <v>35.633491569815014</v>
      </c>
      <c r="Y73" s="240">
        <f t="shared" si="53"/>
        <v>35.037571127913324</v>
      </c>
      <c r="Z73" s="240">
        <f t="shared" si="54"/>
        <v>35.037571127913324</v>
      </c>
      <c r="AA73" s="240">
        <f t="shared" si="55"/>
        <v>35.787512666614703</v>
      </c>
      <c r="AB73" s="240">
        <f t="shared" si="56"/>
        <v>34.78759061501286</v>
      </c>
      <c r="AC73" s="240">
        <f t="shared" si="57"/>
        <v>32.78759061501286</v>
      </c>
      <c r="AD73" s="240">
        <f t="shared" si="58"/>
        <v>31.537610102112403</v>
      </c>
      <c r="AE73" s="240">
        <f t="shared" si="59"/>
        <v>31.575337126822042</v>
      </c>
      <c r="AF73" s="240">
        <f t="shared" si="60"/>
        <v>32.825317639722506</v>
      </c>
      <c r="AG73" s="240">
        <f t="shared" si="61"/>
        <v>32.750721022682988</v>
      </c>
      <c r="AH73" s="242">
        <f>+IFERROR(AVERAGE(V73:AG73),0)</f>
        <v>34.064771319168663</v>
      </c>
      <c r="AI73" s="242">
        <f t="shared" si="62"/>
        <v>408.77725583002399</v>
      </c>
      <c r="AM73" s="240">
        <f t="shared" si="67"/>
        <v>0</v>
      </c>
      <c r="AN73" s="241">
        <v>1</v>
      </c>
      <c r="AO73" s="240">
        <f t="shared" si="67"/>
        <v>34.064771319168663</v>
      </c>
      <c r="AQ73" s="240">
        <f t="shared" si="63"/>
        <v>0</v>
      </c>
      <c r="AS73" s="240">
        <f t="shared" si="64"/>
        <v>0</v>
      </c>
    </row>
    <row r="74" spans="1:45" s="241" customFormat="1" ht="12" customHeight="1" x14ac:dyDescent="0.2">
      <c r="A74" s="253" t="str">
        <f t="shared" si="65"/>
        <v>allrecyclingCRY1Y5X</v>
      </c>
      <c r="B74" s="250" t="s">
        <v>1076</v>
      </c>
      <c r="C74" s="232" t="s">
        <v>890</v>
      </c>
      <c r="D74" s="238">
        <v>609.69999999999993</v>
      </c>
      <c r="E74" s="238">
        <v>640.19000000000005</v>
      </c>
      <c r="F74" s="238">
        <v>640.19000000000005</v>
      </c>
      <c r="G74" s="238"/>
      <c r="H74" s="240">
        <v>1219.4000000000001</v>
      </c>
      <c r="I74" s="240">
        <v>1219.4000000000001</v>
      </c>
      <c r="J74" s="240">
        <v>1219.4000000000001</v>
      </c>
      <c r="K74" s="240">
        <v>1280.3800000000001</v>
      </c>
      <c r="L74" s="240">
        <v>1280.3800000000001</v>
      </c>
      <c r="M74" s="240">
        <v>640.20000000000005</v>
      </c>
      <c r="N74" s="240">
        <v>0</v>
      </c>
      <c r="O74" s="240">
        <v>0</v>
      </c>
      <c r="P74" s="240">
        <v>0</v>
      </c>
      <c r="Q74" s="240">
        <v>0</v>
      </c>
      <c r="R74" s="240">
        <v>0</v>
      </c>
      <c r="S74" s="240">
        <v>0</v>
      </c>
      <c r="T74" s="240">
        <f t="shared" si="49"/>
        <v>6859.16</v>
      </c>
      <c r="V74" s="240">
        <f t="shared" si="50"/>
        <v>2.0000000000000004</v>
      </c>
      <c r="W74" s="240">
        <f t="shared" si="51"/>
        <v>2.0000000000000004</v>
      </c>
      <c r="X74" s="240">
        <f t="shared" si="52"/>
        <v>2.0000000000000004</v>
      </c>
      <c r="Y74" s="240">
        <f t="shared" si="53"/>
        <v>2</v>
      </c>
      <c r="Z74" s="240">
        <f t="shared" si="54"/>
        <v>2</v>
      </c>
      <c r="AA74" s="240">
        <f t="shared" si="55"/>
        <v>1.0000156203627049</v>
      </c>
      <c r="AB74" s="240">
        <f t="shared" si="56"/>
        <v>0</v>
      </c>
      <c r="AC74" s="240">
        <f t="shared" si="57"/>
        <v>0</v>
      </c>
      <c r="AD74" s="240">
        <f t="shared" si="58"/>
        <v>0</v>
      </c>
      <c r="AE74" s="240">
        <f t="shared" si="59"/>
        <v>0</v>
      </c>
      <c r="AF74" s="240">
        <f t="shared" si="60"/>
        <v>0</v>
      </c>
      <c r="AG74" s="240">
        <f t="shared" si="61"/>
        <v>0</v>
      </c>
      <c r="AH74" s="242">
        <f t="shared" si="66"/>
        <v>0.9166679683635589</v>
      </c>
      <c r="AI74" s="242">
        <f t="shared" si="62"/>
        <v>11.000015620362706</v>
      </c>
      <c r="AM74" s="240">
        <f t="shared" si="67"/>
        <v>0</v>
      </c>
      <c r="AN74" s="241">
        <v>1</v>
      </c>
      <c r="AO74" s="240">
        <f t="shared" si="67"/>
        <v>0.9166679683635589</v>
      </c>
      <c r="AQ74" s="240">
        <f t="shared" si="63"/>
        <v>0</v>
      </c>
      <c r="AS74" s="240">
        <f t="shared" si="64"/>
        <v>0</v>
      </c>
    </row>
    <row r="75" spans="1:45" s="241" customFormat="1" ht="12" customHeight="1" x14ac:dyDescent="0.2">
      <c r="A75" s="253" t="str">
        <f t="shared" si="65"/>
        <v>allrecyclingCRY1YGLS1X</v>
      </c>
      <c r="B75" s="241" t="s">
        <v>1121</v>
      </c>
      <c r="C75" s="232" t="s">
        <v>1122</v>
      </c>
      <c r="D75" s="238">
        <v>87.210000000000022</v>
      </c>
      <c r="E75" s="238">
        <v>91.57</v>
      </c>
      <c r="F75" s="238">
        <v>91.57</v>
      </c>
      <c r="G75" s="238"/>
      <c r="H75" s="240">
        <v>261.63</v>
      </c>
      <c r="I75" s="240">
        <v>261.63</v>
      </c>
      <c r="J75" s="240">
        <v>261.63</v>
      </c>
      <c r="K75" s="240">
        <v>274.70999999999998</v>
      </c>
      <c r="L75" s="240">
        <v>274.70999999999998</v>
      </c>
      <c r="M75" s="240">
        <v>457.85</v>
      </c>
      <c r="N75" s="240">
        <v>366.29</v>
      </c>
      <c r="O75" s="240">
        <v>274.70999999999998</v>
      </c>
      <c r="P75" s="233">
        <v>274.70999999999998</v>
      </c>
      <c r="Q75" s="240">
        <v>274.70999999999998</v>
      </c>
      <c r="R75" s="240">
        <v>274.70999999999998</v>
      </c>
      <c r="S75" s="240">
        <v>274.70999999999998</v>
      </c>
      <c r="T75" s="240">
        <f t="shared" si="49"/>
        <v>3532</v>
      </c>
      <c r="V75" s="240">
        <f t="shared" si="50"/>
        <v>2.9999999999999991</v>
      </c>
      <c r="W75" s="240">
        <f t="shared" si="51"/>
        <v>2.9999999999999991</v>
      </c>
      <c r="X75" s="240">
        <f t="shared" si="52"/>
        <v>2.9999999999999991</v>
      </c>
      <c r="Y75" s="240">
        <f t="shared" si="53"/>
        <v>3</v>
      </c>
      <c r="Z75" s="240">
        <f t="shared" si="54"/>
        <v>3</v>
      </c>
      <c r="AA75" s="240">
        <f t="shared" si="55"/>
        <v>5.0000000000000009</v>
      </c>
      <c r="AB75" s="240">
        <f t="shared" si="56"/>
        <v>4.0001092060718584</v>
      </c>
      <c r="AC75" s="240">
        <f t="shared" si="57"/>
        <v>3</v>
      </c>
      <c r="AD75" s="240">
        <f t="shared" si="58"/>
        <v>3</v>
      </c>
      <c r="AE75" s="240">
        <f t="shared" si="59"/>
        <v>3</v>
      </c>
      <c r="AF75" s="240">
        <f t="shared" si="60"/>
        <v>3</v>
      </c>
      <c r="AG75" s="240">
        <f t="shared" si="61"/>
        <v>3</v>
      </c>
      <c r="AH75" s="242">
        <f t="shared" si="66"/>
        <v>3.2500091005059879</v>
      </c>
      <c r="AI75" s="242">
        <f t="shared" si="62"/>
        <v>39.000109206071855</v>
      </c>
      <c r="AM75" s="240">
        <f t="shared" si="67"/>
        <v>0</v>
      </c>
      <c r="AN75" s="241">
        <v>1</v>
      </c>
      <c r="AO75" s="240">
        <f t="shared" si="67"/>
        <v>3.2500091005059879</v>
      </c>
      <c r="AQ75" s="240">
        <f t="shared" si="63"/>
        <v>0</v>
      </c>
      <c r="AS75" s="240">
        <f t="shared" si="64"/>
        <v>0</v>
      </c>
    </row>
    <row r="76" spans="1:45" s="241" customFormat="1" ht="12" customHeight="1" x14ac:dyDescent="0.2">
      <c r="A76" s="253" t="str">
        <f t="shared" si="65"/>
        <v>allrecyclingCRY1Y2X</v>
      </c>
      <c r="B76" s="250" t="s">
        <v>1023</v>
      </c>
      <c r="C76" s="232" t="s">
        <v>1024</v>
      </c>
      <c r="D76" s="238">
        <v>260.4899999999999</v>
      </c>
      <c r="E76" s="238">
        <v>273.51</v>
      </c>
      <c r="F76" s="238">
        <v>273.51</v>
      </c>
      <c r="G76" s="238"/>
      <c r="H76" s="240">
        <v>520.98</v>
      </c>
      <c r="I76" s="240">
        <v>520.98</v>
      </c>
      <c r="J76" s="240">
        <v>520.98</v>
      </c>
      <c r="K76" s="240">
        <v>547.02</v>
      </c>
      <c r="L76" s="240">
        <v>547.02</v>
      </c>
      <c r="M76" s="240">
        <v>547.02</v>
      </c>
      <c r="N76" s="240">
        <v>547.02</v>
      </c>
      <c r="O76" s="240">
        <v>547.02</v>
      </c>
      <c r="P76" s="240">
        <v>547.02</v>
      </c>
      <c r="Q76" s="240">
        <v>547.02</v>
      </c>
      <c r="R76" s="240">
        <v>547.02</v>
      </c>
      <c r="S76" s="240">
        <v>547.02</v>
      </c>
      <c r="T76" s="240">
        <f t="shared" si="49"/>
        <v>6486.1200000000008</v>
      </c>
      <c r="V76" s="240">
        <f t="shared" si="50"/>
        <v>2.0000000000000009</v>
      </c>
      <c r="W76" s="240">
        <f t="shared" si="51"/>
        <v>2.0000000000000009</v>
      </c>
      <c r="X76" s="240">
        <f t="shared" si="52"/>
        <v>2.0000000000000009</v>
      </c>
      <c r="Y76" s="240">
        <f t="shared" si="53"/>
        <v>2</v>
      </c>
      <c r="Z76" s="240">
        <f t="shared" si="54"/>
        <v>2</v>
      </c>
      <c r="AA76" s="240">
        <f t="shared" si="55"/>
        <v>2</v>
      </c>
      <c r="AB76" s="240">
        <f t="shared" si="56"/>
        <v>2</v>
      </c>
      <c r="AC76" s="240">
        <f t="shared" si="57"/>
        <v>2</v>
      </c>
      <c r="AD76" s="240">
        <f t="shared" si="58"/>
        <v>2</v>
      </c>
      <c r="AE76" s="240">
        <f t="shared" si="59"/>
        <v>2</v>
      </c>
      <c r="AF76" s="240">
        <f t="shared" si="60"/>
        <v>2</v>
      </c>
      <c r="AG76" s="240">
        <f t="shared" si="61"/>
        <v>2</v>
      </c>
      <c r="AH76" s="242">
        <f t="shared" si="66"/>
        <v>2.0000000000000004</v>
      </c>
      <c r="AI76" s="242">
        <f t="shared" si="62"/>
        <v>24.000000000000004</v>
      </c>
      <c r="AM76" s="240">
        <f t="shared" si="67"/>
        <v>0</v>
      </c>
      <c r="AN76" s="241">
        <v>1</v>
      </c>
      <c r="AO76" s="240">
        <f t="shared" si="67"/>
        <v>2.0000000000000004</v>
      </c>
      <c r="AQ76" s="240">
        <f t="shared" si="63"/>
        <v>0</v>
      </c>
      <c r="AS76" s="240">
        <f t="shared" si="64"/>
        <v>0</v>
      </c>
    </row>
    <row r="77" spans="1:45" s="241" customFormat="1" ht="12" customHeight="1" x14ac:dyDescent="0.2">
      <c r="A77" s="253" t="str">
        <f t="shared" si="65"/>
        <v>allrecyclingCRY1YEOW</v>
      </c>
      <c r="B77" s="250" t="s">
        <v>458</v>
      </c>
      <c r="C77" s="232" t="s">
        <v>541</v>
      </c>
      <c r="D77" s="238">
        <v>88.85</v>
      </c>
      <c r="E77" s="238">
        <v>93.289999999999978</v>
      </c>
      <c r="F77" s="238">
        <v>93.289999999999978</v>
      </c>
      <c r="G77" s="238"/>
      <c r="H77" s="240">
        <v>3836.41</v>
      </c>
      <c r="I77" s="240">
        <v>3759.19</v>
      </c>
      <c r="J77" s="240">
        <v>3759.1800000000003</v>
      </c>
      <c r="K77" s="240">
        <v>4036.92</v>
      </c>
      <c r="L77" s="240">
        <v>4138.6900000000005</v>
      </c>
      <c r="M77" s="240">
        <v>4278.63</v>
      </c>
      <c r="N77" s="240">
        <v>4418.5599999999995</v>
      </c>
      <c r="O77" s="240">
        <v>4605.1399999999994</v>
      </c>
      <c r="P77" s="240">
        <v>4605.1399999999994</v>
      </c>
      <c r="Q77" s="240">
        <v>4536.82</v>
      </c>
      <c r="R77" s="240">
        <v>4572.3600000000006</v>
      </c>
      <c r="S77" s="240">
        <v>4525.7099999999991</v>
      </c>
      <c r="T77" s="240">
        <f t="shared" si="49"/>
        <v>51072.75</v>
      </c>
      <c r="V77" s="240">
        <f t="shared" si="50"/>
        <v>43.178503095104112</v>
      </c>
      <c r="W77" s="240">
        <f t="shared" si="51"/>
        <v>42.309397861564435</v>
      </c>
      <c r="X77" s="240">
        <f t="shared" si="52"/>
        <v>42.30928531232415</v>
      </c>
      <c r="Y77" s="240">
        <f t="shared" si="53"/>
        <v>43.27280523100012</v>
      </c>
      <c r="Z77" s="240">
        <f t="shared" si="54"/>
        <v>44.363704577125112</v>
      </c>
      <c r="AA77" s="240">
        <f t="shared" si="55"/>
        <v>45.863758173437681</v>
      </c>
      <c r="AB77" s="240">
        <f t="shared" si="56"/>
        <v>47.363704577125098</v>
      </c>
      <c r="AC77" s="240">
        <f t="shared" si="57"/>
        <v>49.363704577125098</v>
      </c>
      <c r="AD77" s="240">
        <f t="shared" si="58"/>
        <v>49.363704577125098</v>
      </c>
      <c r="AE77" s="240">
        <f t="shared" si="59"/>
        <v>48.631364562118137</v>
      </c>
      <c r="AF77" s="240">
        <f t="shared" si="60"/>
        <v>49.012327151891967</v>
      </c>
      <c r="AG77" s="240">
        <f t="shared" si="61"/>
        <v>48.512273555579377</v>
      </c>
      <c r="AH77" s="242">
        <f t="shared" si="66"/>
        <v>46.128711104293359</v>
      </c>
      <c r="AI77" s="242">
        <f t="shared" si="62"/>
        <v>553.54453325152031</v>
      </c>
      <c r="AM77" s="240">
        <f t="shared" si="67"/>
        <v>0</v>
      </c>
      <c r="AN77" s="241">
        <v>1</v>
      </c>
      <c r="AO77" s="240">
        <f t="shared" si="67"/>
        <v>46.128711104293359</v>
      </c>
      <c r="AQ77" s="240">
        <f t="shared" si="63"/>
        <v>0</v>
      </c>
      <c r="AS77" s="240">
        <f t="shared" si="64"/>
        <v>0</v>
      </c>
    </row>
    <row r="78" spans="1:45" s="241" customFormat="1" ht="12" customHeight="1" x14ac:dyDescent="0.2">
      <c r="A78" s="253" t="str">
        <f t="shared" si="65"/>
        <v>allrecyclingCRY2-1Y1X</v>
      </c>
      <c r="B78" s="250" t="s">
        <v>459</v>
      </c>
      <c r="C78" s="232" t="s">
        <v>542</v>
      </c>
      <c r="D78" s="238">
        <v>241.1399999999999</v>
      </c>
      <c r="E78" s="238">
        <v>253.20000000000002</v>
      </c>
      <c r="F78" s="238">
        <v>253.20000000000002</v>
      </c>
      <c r="G78" s="238"/>
      <c r="H78" s="240">
        <v>171.62</v>
      </c>
      <c r="I78" s="240">
        <v>171.62</v>
      </c>
      <c r="J78" s="240">
        <v>171.62</v>
      </c>
      <c r="K78" s="240">
        <v>180.2</v>
      </c>
      <c r="L78" s="240">
        <v>180.2</v>
      </c>
      <c r="M78" s="240">
        <v>180.2</v>
      </c>
      <c r="N78" s="240">
        <v>180.2</v>
      </c>
      <c r="O78" s="240">
        <v>180.2</v>
      </c>
      <c r="P78" s="240">
        <v>180.2</v>
      </c>
      <c r="Q78" s="240">
        <v>180.2</v>
      </c>
      <c r="R78" s="240">
        <v>180.2</v>
      </c>
      <c r="S78" s="240">
        <v>180.2</v>
      </c>
      <c r="T78" s="240">
        <f t="shared" si="49"/>
        <v>2136.6600000000003</v>
      </c>
      <c r="V78" s="240">
        <f t="shared" si="50"/>
        <v>0.711702745293191</v>
      </c>
      <c r="W78" s="240">
        <f t="shared" si="51"/>
        <v>0.711702745293191</v>
      </c>
      <c r="X78" s="240">
        <f t="shared" si="52"/>
        <v>0.711702745293191</v>
      </c>
      <c r="Y78" s="240">
        <f t="shared" si="53"/>
        <v>0.71169036334913105</v>
      </c>
      <c r="Z78" s="240">
        <f t="shared" si="54"/>
        <v>0.71169036334913105</v>
      </c>
      <c r="AA78" s="240">
        <f t="shared" si="55"/>
        <v>0.71169036334913105</v>
      </c>
      <c r="AB78" s="240">
        <f t="shared" si="56"/>
        <v>0.71169036334913105</v>
      </c>
      <c r="AC78" s="240">
        <f t="shared" si="57"/>
        <v>0.71169036334913105</v>
      </c>
      <c r="AD78" s="240">
        <f t="shared" si="58"/>
        <v>0.71169036334913105</v>
      </c>
      <c r="AE78" s="240">
        <f t="shared" si="59"/>
        <v>0.71169036334913105</v>
      </c>
      <c r="AF78" s="240">
        <f t="shared" si="60"/>
        <v>0.71169036334913105</v>
      </c>
      <c r="AG78" s="240">
        <f t="shared" si="61"/>
        <v>0.71169036334913105</v>
      </c>
      <c r="AH78" s="242">
        <f t="shared" si="66"/>
        <v>0.71169345883514612</v>
      </c>
      <c r="AI78" s="242">
        <f t="shared" si="62"/>
        <v>8.540321506021753</v>
      </c>
      <c r="AM78" s="240">
        <f t="shared" si="67"/>
        <v>0</v>
      </c>
      <c r="AN78" s="241">
        <v>1</v>
      </c>
      <c r="AO78" s="240">
        <f t="shared" si="67"/>
        <v>0.71169345883514612</v>
      </c>
      <c r="AQ78" s="240">
        <f t="shared" si="63"/>
        <v>0</v>
      </c>
      <c r="AS78" s="240">
        <f t="shared" si="64"/>
        <v>0</v>
      </c>
    </row>
    <row r="79" spans="1:45" s="241" customFormat="1" ht="12" customHeight="1" x14ac:dyDescent="0.2">
      <c r="A79" s="253" t="str">
        <f t="shared" si="65"/>
        <v>allrecyclingCRY2Y1MO</v>
      </c>
      <c r="B79" s="250" t="s">
        <v>460</v>
      </c>
      <c r="C79" s="232" t="s">
        <v>543</v>
      </c>
      <c r="D79" s="238">
        <v>59.039999999999992</v>
      </c>
      <c r="E79" s="238">
        <v>61.989999999999995</v>
      </c>
      <c r="F79" s="238">
        <v>61.989999999999995</v>
      </c>
      <c r="G79" s="238"/>
      <c r="H79" s="240">
        <v>51.33</v>
      </c>
      <c r="I79" s="240">
        <v>51.33</v>
      </c>
      <c r="J79" s="240">
        <v>51.33</v>
      </c>
      <c r="K79" s="240">
        <v>53.9</v>
      </c>
      <c r="L79" s="240">
        <v>53.9</v>
      </c>
      <c r="M79" s="240">
        <v>53.9</v>
      </c>
      <c r="N79" s="240">
        <v>53.9</v>
      </c>
      <c r="O79" s="240">
        <v>53.9</v>
      </c>
      <c r="P79" s="240">
        <v>53.9</v>
      </c>
      <c r="Q79" s="240">
        <v>53.9</v>
      </c>
      <c r="R79" s="240">
        <v>53.9</v>
      </c>
      <c r="S79" s="240">
        <v>53.9</v>
      </c>
      <c r="T79" s="240">
        <f t="shared" si="49"/>
        <v>639.08999999999992</v>
      </c>
      <c r="V79" s="240">
        <f t="shared" si="50"/>
        <v>0.86941056910569114</v>
      </c>
      <c r="W79" s="240">
        <f t="shared" si="51"/>
        <v>0.86941056910569114</v>
      </c>
      <c r="X79" s="240">
        <f t="shared" si="52"/>
        <v>0.86941056910569114</v>
      </c>
      <c r="Y79" s="240">
        <f t="shared" si="53"/>
        <v>0.86949507985158903</v>
      </c>
      <c r="Z79" s="240">
        <f t="shared" si="54"/>
        <v>0.86949507985158903</v>
      </c>
      <c r="AA79" s="240">
        <f t="shared" si="55"/>
        <v>0.86949507985158903</v>
      </c>
      <c r="AB79" s="240">
        <f t="shared" si="56"/>
        <v>0.86949507985158903</v>
      </c>
      <c r="AC79" s="240">
        <f t="shared" si="57"/>
        <v>0.86949507985158903</v>
      </c>
      <c r="AD79" s="240">
        <f t="shared" si="58"/>
        <v>0.86949507985158903</v>
      </c>
      <c r="AE79" s="240">
        <f t="shared" si="59"/>
        <v>0.86949507985158903</v>
      </c>
      <c r="AF79" s="240">
        <f t="shared" si="60"/>
        <v>0.86949507985158903</v>
      </c>
      <c r="AG79" s="240">
        <f t="shared" si="61"/>
        <v>0.86949507985158903</v>
      </c>
      <c r="AH79" s="242">
        <f t="shared" si="66"/>
        <v>0.86947395216511458</v>
      </c>
      <c r="AI79" s="242">
        <f t="shared" si="62"/>
        <v>10.433687425981375</v>
      </c>
      <c r="AM79" s="240">
        <f t="shared" si="67"/>
        <v>0</v>
      </c>
      <c r="AN79" s="241">
        <v>1</v>
      </c>
      <c r="AO79" s="240">
        <f t="shared" si="67"/>
        <v>0.86947395216511458</v>
      </c>
      <c r="AQ79" s="240">
        <f t="shared" si="63"/>
        <v>0</v>
      </c>
      <c r="AS79" s="240">
        <f t="shared" si="64"/>
        <v>0</v>
      </c>
    </row>
    <row r="80" spans="1:45" s="241" customFormat="1" ht="12" customHeight="1" x14ac:dyDescent="0.2">
      <c r="A80" s="253" t="str">
        <f t="shared" si="65"/>
        <v>allrecyclingCRY2Y1X</v>
      </c>
      <c r="B80" s="250" t="s">
        <v>461</v>
      </c>
      <c r="C80" s="232" t="s">
        <v>544</v>
      </c>
      <c r="D80" s="238">
        <v>157.93000000000004</v>
      </c>
      <c r="E80" s="238">
        <v>165.83</v>
      </c>
      <c r="F80" s="238">
        <v>165.83</v>
      </c>
      <c r="G80" s="238"/>
      <c r="H80" s="240">
        <v>12337.990000000002</v>
      </c>
      <c r="I80" s="240">
        <v>12495.919999999998</v>
      </c>
      <c r="J80" s="240">
        <v>12422.95</v>
      </c>
      <c r="K80" s="240">
        <v>13170.62</v>
      </c>
      <c r="L80" s="240">
        <v>13549.25</v>
      </c>
      <c r="M80" s="240">
        <v>13632.17</v>
      </c>
      <c r="N80" s="240">
        <v>13406.550000000001</v>
      </c>
      <c r="O80" s="240">
        <v>13248.43</v>
      </c>
      <c r="P80" s="240">
        <v>13414.26</v>
      </c>
      <c r="Q80" s="240">
        <v>13418.369999999999</v>
      </c>
      <c r="R80" s="240">
        <v>12837.98</v>
      </c>
      <c r="S80" s="240">
        <v>13045.26</v>
      </c>
      <c r="T80" s="240">
        <f t="shared" si="49"/>
        <v>156979.75000000003</v>
      </c>
      <c r="V80" s="240">
        <f t="shared" si="50"/>
        <v>78.123155828531623</v>
      </c>
      <c r="W80" s="240">
        <f t="shared" si="51"/>
        <v>79.123155828531594</v>
      </c>
      <c r="X80" s="240">
        <f t="shared" si="52"/>
        <v>78.66111568416386</v>
      </c>
      <c r="Y80" s="240">
        <f t="shared" si="53"/>
        <v>79.422420551166852</v>
      </c>
      <c r="Z80" s="240">
        <f t="shared" si="54"/>
        <v>81.70566242537538</v>
      </c>
      <c r="AA80" s="240">
        <f t="shared" si="55"/>
        <v>82.205692576735203</v>
      </c>
      <c r="AB80" s="240">
        <f t="shared" si="56"/>
        <v>80.845142615931977</v>
      </c>
      <c r="AC80" s="240">
        <f t="shared" si="57"/>
        <v>79.891636012784176</v>
      </c>
      <c r="AD80" s="240">
        <f t="shared" si="58"/>
        <v>80.891636012784176</v>
      </c>
      <c r="AE80" s="240">
        <f t="shared" si="59"/>
        <v>80.916420430561402</v>
      </c>
      <c r="AF80" s="240">
        <f t="shared" si="60"/>
        <v>77.416510884640886</v>
      </c>
      <c r="AG80" s="240">
        <f t="shared" si="61"/>
        <v>78.666465657601151</v>
      </c>
      <c r="AH80" s="242">
        <f t="shared" si="66"/>
        <v>79.822417875734018</v>
      </c>
      <c r="AI80" s="242">
        <f t="shared" si="62"/>
        <v>957.86901450880816</v>
      </c>
      <c r="AM80" s="240">
        <f t="shared" si="67"/>
        <v>0</v>
      </c>
      <c r="AN80" s="241">
        <v>1</v>
      </c>
      <c r="AO80" s="240">
        <f t="shared" si="67"/>
        <v>79.822417875734018</v>
      </c>
      <c r="AQ80" s="240">
        <f t="shared" si="63"/>
        <v>0</v>
      </c>
      <c r="AS80" s="240">
        <f t="shared" si="64"/>
        <v>0</v>
      </c>
    </row>
    <row r="81" spans="1:45" s="241" customFormat="1" ht="12" customHeight="1" x14ac:dyDescent="0.2">
      <c r="A81" s="253" t="str">
        <f t="shared" si="65"/>
        <v>allrecyclingCRY2Y2X</v>
      </c>
      <c r="B81" s="250" t="s">
        <v>462</v>
      </c>
      <c r="C81" s="232" t="s">
        <v>545</v>
      </c>
      <c r="D81" s="238">
        <v>285.45999999999998</v>
      </c>
      <c r="E81" s="238">
        <v>299.72999999999996</v>
      </c>
      <c r="F81" s="238">
        <v>299.72999999999996</v>
      </c>
      <c r="G81" s="238"/>
      <c r="H81" s="240">
        <v>2712.39</v>
      </c>
      <c r="I81" s="240">
        <v>2605.35</v>
      </c>
      <c r="J81" s="240">
        <v>2605.35</v>
      </c>
      <c r="K81" s="240">
        <v>2723.26</v>
      </c>
      <c r="L81" s="240">
        <v>2734.8</v>
      </c>
      <c r="M81" s="240">
        <v>2734.8</v>
      </c>
      <c r="N81" s="240">
        <v>2734.8</v>
      </c>
      <c r="O81" s="240">
        <v>2734.8</v>
      </c>
      <c r="P81" s="240">
        <v>2734.8</v>
      </c>
      <c r="Q81" s="240">
        <v>2559.81</v>
      </c>
      <c r="R81" s="240">
        <v>2447.41</v>
      </c>
      <c r="S81" s="240">
        <v>2447.41</v>
      </c>
      <c r="T81" s="240">
        <f t="shared" si="49"/>
        <v>31774.98</v>
      </c>
      <c r="V81" s="240">
        <f t="shared" si="50"/>
        <v>9.5018216212429056</v>
      </c>
      <c r="W81" s="240">
        <f t="shared" si="51"/>
        <v>9.1268478946262181</v>
      </c>
      <c r="X81" s="240">
        <f t="shared" si="52"/>
        <v>9.1268478946262181</v>
      </c>
      <c r="Y81" s="240">
        <f t="shared" si="53"/>
        <v>9.0857104727588176</v>
      </c>
      <c r="Z81" s="240">
        <f t="shared" si="54"/>
        <v>9.1242117906115521</v>
      </c>
      <c r="AA81" s="240">
        <f t="shared" si="55"/>
        <v>9.1242117906115521</v>
      </c>
      <c r="AB81" s="240">
        <f t="shared" si="56"/>
        <v>9.1242117906115521</v>
      </c>
      <c r="AC81" s="240">
        <f t="shared" si="57"/>
        <v>9.1242117906115521</v>
      </c>
      <c r="AD81" s="240">
        <f t="shared" si="58"/>
        <v>9.1242117906115521</v>
      </c>
      <c r="AE81" s="240">
        <f t="shared" si="59"/>
        <v>8.5403863477129427</v>
      </c>
      <c r="AF81" s="240">
        <f t="shared" si="60"/>
        <v>8.1653821772928978</v>
      </c>
      <c r="AG81" s="240">
        <f t="shared" si="61"/>
        <v>8.1653821772928978</v>
      </c>
      <c r="AH81" s="242">
        <f t="shared" si="66"/>
        <v>8.944453128217555</v>
      </c>
      <c r="AI81" s="242">
        <f t="shared" si="62"/>
        <v>107.33343753861067</v>
      </c>
      <c r="AM81" s="240">
        <f t="shared" si="67"/>
        <v>0</v>
      </c>
      <c r="AN81" s="241">
        <v>1</v>
      </c>
      <c r="AO81" s="240">
        <f t="shared" si="67"/>
        <v>8.944453128217555</v>
      </c>
      <c r="AQ81" s="240">
        <f t="shared" si="63"/>
        <v>0</v>
      </c>
      <c r="AS81" s="240">
        <f t="shared" si="64"/>
        <v>0</v>
      </c>
    </row>
    <row r="82" spans="1:45" s="241" customFormat="1" ht="12" customHeight="1" x14ac:dyDescent="0.2">
      <c r="A82" s="253" t="str">
        <f t="shared" si="65"/>
        <v>allrecyclingCRY2Y3X</v>
      </c>
      <c r="B82" s="250" t="s">
        <v>879</v>
      </c>
      <c r="C82" s="232" t="s">
        <v>891</v>
      </c>
      <c r="D82" s="238">
        <v>412.89999999999992</v>
      </c>
      <c r="E82" s="238">
        <v>433.55000000000007</v>
      </c>
      <c r="F82" s="238">
        <v>433.55000000000007</v>
      </c>
      <c r="G82" s="238"/>
      <c r="H82" s="240">
        <v>343.32</v>
      </c>
      <c r="I82" s="240">
        <v>343.32</v>
      </c>
      <c r="J82" s="240">
        <v>343.32</v>
      </c>
      <c r="K82" s="240">
        <v>515.36</v>
      </c>
      <c r="L82" s="240">
        <v>776.87</v>
      </c>
      <c r="M82" s="240">
        <v>776.87</v>
      </c>
      <c r="N82" s="240">
        <v>776.87</v>
      </c>
      <c r="O82" s="240">
        <v>867.1</v>
      </c>
      <c r="P82" s="240">
        <v>867.1</v>
      </c>
      <c r="Q82" s="240">
        <v>867.1</v>
      </c>
      <c r="R82" s="240">
        <v>867.1</v>
      </c>
      <c r="S82" s="240">
        <v>867.1</v>
      </c>
      <c r="T82" s="240">
        <f t="shared" si="49"/>
        <v>8211.43</v>
      </c>
      <c r="V82" s="240">
        <f t="shared" si="50"/>
        <v>0.83148462097360154</v>
      </c>
      <c r="W82" s="240">
        <f t="shared" si="51"/>
        <v>0.83148462097360154</v>
      </c>
      <c r="X82" s="240">
        <f t="shared" si="52"/>
        <v>0.83148462097360154</v>
      </c>
      <c r="Y82" s="240">
        <f t="shared" si="53"/>
        <v>1.1886979587129511</v>
      </c>
      <c r="Z82" s="240">
        <f t="shared" si="54"/>
        <v>1.7918809825856299</v>
      </c>
      <c r="AA82" s="240">
        <f t="shared" si="55"/>
        <v>1.7918809825856299</v>
      </c>
      <c r="AB82" s="240">
        <f t="shared" si="56"/>
        <v>1.7918809825856299</v>
      </c>
      <c r="AC82" s="240">
        <f t="shared" si="57"/>
        <v>1.9999999999999998</v>
      </c>
      <c r="AD82" s="240">
        <f t="shared" si="58"/>
        <v>1.9999999999999998</v>
      </c>
      <c r="AE82" s="240">
        <f t="shared" si="59"/>
        <v>1.9999999999999998</v>
      </c>
      <c r="AF82" s="240">
        <f t="shared" si="60"/>
        <v>1.9999999999999998</v>
      </c>
      <c r="AG82" s="240">
        <f t="shared" si="61"/>
        <v>1.9999999999999998</v>
      </c>
      <c r="AH82" s="242">
        <f t="shared" si="66"/>
        <v>1.5882328974492204</v>
      </c>
      <c r="AI82" s="242">
        <f t="shared" si="62"/>
        <v>19.058794769390644</v>
      </c>
      <c r="AM82" s="240">
        <f t="shared" si="67"/>
        <v>0</v>
      </c>
      <c r="AN82" s="241">
        <v>1</v>
      </c>
      <c r="AO82" s="240">
        <f t="shared" si="67"/>
        <v>1.5882328974492204</v>
      </c>
      <c r="AQ82" s="240">
        <f t="shared" si="63"/>
        <v>0</v>
      </c>
      <c r="AS82" s="240">
        <f t="shared" si="64"/>
        <v>0</v>
      </c>
    </row>
    <row r="83" spans="1:45" s="241" customFormat="1" ht="12" customHeight="1" x14ac:dyDescent="0.2">
      <c r="A83" s="253" t="str">
        <f t="shared" si="65"/>
        <v>allrecyclingCRY2-3Y1X</v>
      </c>
      <c r="B83" s="250" t="s">
        <v>1019</v>
      </c>
      <c r="C83" s="232" t="s">
        <v>1020</v>
      </c>
      <c r="D83" s="238">
        <v>296.55000000000007</v>
      </c>
      <c r="E83" s="238">
        <v>311.38000000000005</v>
      </c>
      <c r="F83" s="238">
        <v>311.38000000000005</v>
      </c>
      <c r="G83" s="238"/>
      <c r="H83" s="240">
        <v>566.14</v>
      </c>
      <c r="I83" s="240">
        <v>566.14</v>
      </c>
      <c r="J83" s="240">
        <v>566.14</v>
      </c>
      <c r="K83" s="240">
        <v>594.45000000000005</v>
      </c>
      <c r="L83" s="240">
        <v>594.45000000000005</v>
      </c>
      <c r="M83" s="240">
        <v>594.45000000000005</v>
      </c>
      <c r="N83" s="240">
        <v>594.45000000000005</v>
      </c>
      <c r="O83" s="240">
        <v>594.45000000000005</v>
      </c>
      <c r="P83" s="240">
        <v>594.45000000000005</v>
      </c>
      <c r="Q83" s="240">
        <v>594.45000000000005</v>
      </c>
      <c r="R83" s="240">
        <v>594.45000000000005</v>
      </c>
      <c r="S83" s="240">
        <v>594.45000000000005</v>
      </c>
      <c r="T83" s="240">
        <f t="shared" si="49"/>
        <v>7048.4699999999984</v>
      </c>
      <c r="V83" s="240">
        <f t="shared" si="50"/>
        <v>1.9090878435339735</v>
      </c>
      <c r="W83" s="240">
        <f t="shared" si="51"/>
        <v>1.9090878435339735</v>
      </c>
      <c r="X83" s="240">
        <f t="shared" si="52"/>
        <v>1.9090878435339735</v>
      </c>
      <c r="Y83" s="240">
        <f t="shared" si="53"/>
        <v>1.9090821504271307</v>
      </c>
      <c r="Z83" s="240">
        <f t="shared" si="54"/>
        <v>1.9090821504271307</v>
      </c>
      <c r="AA83" s="240">
        <f t="shared" si="55"/>
        <v>1.9090821504271307</v>
      </c>
      <c r="AB83" s="240">
        <f t="shared" si="56"/>
        <v>1.9090821504271307</v>
      </c>
      <c r="AC83" s="240">
        <f t="shared" si="57"/>
        <v>1.9090821504271307</v>
      </c>
      <c r="AD83" s="240">
        <f t="shared" si="58"/>
        <v>1.9090821504271307</v>
      </c>
      <c r="AE83" s="240">
        <f t="shared" si="59"/>
        <v>1.9090821504271307</v>
      </c>
      <c r="AF83" s="240">
        <f t="shared" si="60"/>
        <v>1.9090821504271307</v>
      </c>
      <c r="AG83" s="240">
        <f t="shared" si="61"/>
        <v>1.9090821504271307</v>
      </c>
      <c r="AH83" s="242">
        <f t="shared" si="66"/>
        <v>1.9090835737038416</v>
      </c>
      <c r="AI83" s="242">
        <f t="shared" si="62"/>
        <v>22.9090028844461</v>
      </c>
      <c r="AM83" s="240">
        <f t="shared" si="67"/>
        <v>0</v>
      </c>
      <c r="AN83" s="241">
        <v>2</v>
      </c>
      <c r="AO83" s="240">
        <f t="shared" si="67"/>
        <v>3.8181671474076833</v>
      </c>
      <c r="AQ83" s="240">
        <f t="shared" si="63"/>
        <v>0</v>
      </c>
      <c r="AS83" s="240">
        <f t="shared" si="64"/>
        <v>0</v>
      </c>
    </row>
    <row r="84" spans="1:45" s="241" customFormat="1" ht="12" customHeight="1" x14ac:dyDescent="0.2">
      <c r="A84" s="253" t="str">
        <f t="shared" si="65"/>
        <v>allrecyclingCRY2-5Y1X</v>
      </c>
      <c r="B84" s="250" t="s">
        <v>1017</v>
      </c>
      <c r="C84" s="232" t="s">
        <v>1018</v>
      </c>
      <c r="D84" s="238">
        <v>357.5100000000001</v>
      </c>
      <c r="E84" s="238">
        <v>375.38999999999993</v>
      </c>
      <c r="F84" s="238">
        <v>375.38999999999993</v>
      </c>
      <c r="G84" s="238"/>
      <c r="H84" s="240">
        <v>101.12</v>
      </c>
      <c r="I84" s="240">
        <v>101.12</v>
      </c>
      <c r="J84" s="240">
        <v>101.12</v>
      </c>
      <c r="K84" s="240">
        <v>106.18</v>
      </c>
      <c r="L84" s="240">
        <v>106.18</v>
      </c>
      <c r="M84" s="240">
        <v>106.18</v>
      </c>
      <c r="N84" s="240">
        <v>106.18</v>
      </c>
      <c r="O84" s="240">
        <v>106.18</v>
      </c>
      <c r="P84" s="240">
        <v>106.18</v>
      </c>
      <c r="Q84" s="240">
        <v>106.18</v>
      </c>
      <c r="R84" s="240">
        <v>106.18</v>
      </c>
      <c r="S84" s="240">
        <v>106.18</v>
      </c>
      <c r="T84" s="240">
        <f t="shared" si="49"/>
        <v>1258.9800000000005</v>
      </c>
      <c r="V84" s="240">
        <f t="shared" si="50"/>
        <v>0.28284523509831888</v>
      </c>
      <c r="W84" s="240">
        <f t="shared" si="51"/>
        <v>0.28284523509831888</v>
      </c>
      <c r="X84" s="240">
        <f t="shared" si="52"/>
        <v>0.28284523509831888</v>
      </c>
      <c r="Y84" s="240">
        <f t="shared" si="53"/>
        <v>0.28285250006659746</v>
      </c>
      <c r="Z84" s="240">
        <f t="shared" si="54"/>
        <v>0.28285250006659746</v>
      </c>
      <c r="AA84" s="240">
        <f t="shared" si="55"/>
        <v>0.28285250006659746</v>
      </c>
      <c r="AB84" s="240">
        <f t="shared" si="56"/>
        <v>0.28285250006659746</v>
      </c>
      <c r="AC84" s="240">
        <f t="shared" si="57"/>
        <v>0.28285250006659746</v>
      </c>
      <c r="AD84" s="240">
        <f t="shared" si="58"/>
        <v>0.28285250006659746</v>
      </c>
      <c r="AE84" s="240">
        <f t="shared" si="59"/>
        <v>0.28285250006659746</v>
      </c>
      <c r="AF84" s="240">
        <f t="shared" si="60"/>
        <v>0.28285250006659746</v>
      </c>
      <c r="AG84" s="240">
        <f t="shared" si="61"/>
        <v>0.28285250006659746</v>
      </c>
      <c r="AH84" s="242">
        <f t="shared" si="66"/>
        <v>0.28285068382452788</v>
      </c>
      <c r="AI84" s="242">
        <f t="shared" si="62"/>
        <v>3.3942082058943348</v>
      </c>
      <c r="AM84" s="240">
        <f t="shared" si="67"/>
        <v>0</v>
      </c>
      <c r="AN84" s="241">
        <v>2</v>
      </c>
      <c r="AO84" s="240">
        <f t="shared" si="67"/>
        <v>0.56570136764905576</v>
      </c>
      <c r="AQ84" s="240">
        <f t="shared" si="63"/>
        <v>0</v>
      </c>
      <c r="AS84" s="240">
        <f t="shared" si="64"/>
        <v>0</v>
      </c>
    </row>
    <row r="85" spans="1:45" s="241" customFormat="1" ht="12" customHeight="1" x14ac:dyDescent="0.2">
      <c r="A85" s="253" t="str">
        <f t="shared" si="65"/>
        <v>allrecyclingCRY2YEOW</v>
      </c>
      <c r="B85" s="250" t="s">
        <v>463</v>
      </c>
      <c r="C85" s="232" t="s">
        <v>546</v>
      </c>
      <c r="D85" s="238">
        <v>97.390000000000015</v>
      </c>
      <c r="E85" s="238">
        <v>102.26</v>
      </c>
      <c r="F85" s="238">
        <v>102.26</v>
      </c>
      <c r="G85" s="238"/>
      <c r="H85" s="240">
        <v>4463.2400000000007</v>
      </c>
      <c r="I85" s="240">
        <v>4633.68</v>
      </c>
      <c r="J85" s="240">
        <v>4779.7499999999991</v>
      </c>
      <c r="K85" s="240">
        <v>5069.95</v>
      </c>
      <c r="L85" s="240">
        <v>4967.6899999999996</v>
      </c>
      <c r="M85" s="240">
        <v>4929.88</v>
      </c>
      <c r="N85" s="240">
        <v>4776.4900000000007</v>
      </c>
      <c r="O85" s="240">
        <v>4929.880000000001</v>
      </c>
      <c r="P85" s="240">
        <v>5032.1400000000012</v>
      </c>
      <c r="Q85" s="240">
        <v>5083.2700000000013</v>
      </c>
      <c r="R85" s="240">
        <v>5185.5300000000007</v>
      </c>
      <c r="S85" s="240">
        <v>5236.6600000000008</v>
      </c>
      <c r="T85" s="240">
        <f t="shared" si="49"/>
        <v>59088.160000000003</v>
      </c>
      <c r="V85" s="240">
        <f t="shared" si="50"/>
        <v>45.828524489167265</v>
      </c>
      <c r="W85" s="240">
        <f t="shared" si="51"/>
        <v>47.578601499127217</v>
      </c>
      <c r="X85" s="240">
        <f t="shared" si="52"/>
        <v>49.078447479207291</v>
      </c>
      <c r="Y85" s="240">
        <f t="shared" si="53"/>
        <v>49.579014277332284</v>
      </c>
      <c r="Z85" s="240">
        <f t="shared" si="54"/>
        <v>48.579014277332284</v>
      </c>
      <c r="AA85" s="240">
        <f t="shared" si="55"/>
        <v>48.209270486993937</v>
      </c>
      <c r="AB85" s="240">
        <f t="shared" si="56"/>
        <v>46.709270486993944</v>
      </c>
      <c r="AC85" s="240">
        <f t="shared" si="57"/>
        <v>48.209270486993944</v>
      </c>
      <c r="AD85" s="240">
        <f t="shared" si="58"/>
        <v>49.209270486993944</v>
      </c>
      <c r="AE85" s="240">
        <f t="shared" si="59"/>
        <v>49.709270486993951</v>
      </c>
      <c r="AF85" s="240">
        <f t="shared" si="60"/>
        <v>50.709270486993944</v>
      </c>
      <c r="AG85" s="240">
        <f t="shared" si="61"/>
        <v>51.209270486993944</v>
      </c>
      <c r="AH85" s="242">
        <f t="shared" si="66"/>
        <v>48.717374619260319</v>
      </c>
      <c r="AI85" s="242">
        <f t="shared" si="62"/>
        <v>584.60849543112386</v>
      </c>
      <c r="AM85" s="240">
        <f t="shared" si="67"/>
        <v>0</v>
      </c>
      <c r="AN85" s="241">
        <v>1</v>
      </c>
      <c r="AO85" s="240">
        <f t="shared" si="67"/>
        <v>48.717374619260319</v>
      </c>
      <c r="AQ85" s="240">
        <f t="shared" si="63"/>
        <v>0</v>
      </c>
      <c r="AS85" s="240">
        <f t="shared" si="64"/>
        <v>0</v>
      </c>
    </row>
    <row r="86" spans="1:45" s="241" customFormat="1" ht="12" customHeight="1" x14ac:dyDescent="0.2">
      <c r="A86" s="253" t="str">
        <f t="shared" si="65"/>
        <v>allrecyclingCRY3Y1MO</v>
      </c>
      <c r="B86" s="250" t="s">
        <v>464</v>
      </c>
      <c r="C86" s="232" t="s">
        <v>547</v>
      </c>
      <c r="D86" s="238">
        <v>59.039999999999992</v>
      </c>
      <c r="E86" s="238">
        <v>61.989999999999995</v>
      </c>
      <c r="F86" s="238">
        <v>61.989999999999995</v>
      </c>
      <c r="G86" s="238"/>
      <c r="H86" s="240">
        <v>0</v>
      </c>
      <c r="I86" s="240">
        <v>0</v>
      </c>
      <c r="J86" s="240">
        <v>0</v>
      </c>
      <c r="K86" s="240">
        <v>0</v>
      </c>
      <c r="L86" s="240">
        <v>0</v>
      </c>
      <c r="M86" s="240">
        <v>0</v>
      </c>
      <c r="N86" s="240">
        <v>0</v>
      </c>
      <c r="O86" s="240">
        <v>0</v>
      </c>
      <c r="P86" s="240">
        <v>0</v>
      </c>
      <c r="Q86" s="240">
        <v>0</v>
      </c>
      <c r="R86" s="240">
        <v>0</v>
      </c>
      <c r="S86" s="240">
        <v>0</v>
      </c>
      <c r="T86" s="240">
        <f t="shared" si="49"/>
        <v>0</v>
      </c>
      <c r="V86" s="240">
        <f t="shared" si="50"/>
        <v>0</v>
      </c>
      <c r="W86" s="240">
        <f t="shared" si="51"/>
        <v>0</v>
      </c>
      <c r="X86" s="240">
        <f t="shared" si="52"/>
        <v>0</v>
      </c>
      <c r="Y86" s="240">
        <f t="shared" si="53"/>
        <v>0</v>
      </c>
      <c r="Z86" s="240">
        <f t="shared" si="54"/>
        <v>0</v>
      </c>
      <c r="AA86" s="240">
        <f t="shared" si="55"/>
        <v>0</v>
      </c>
      <c r="AB86" s="240">
        <f t="shared" si="56"/>
        <v>0</v>
      </c>
      <c r="AC86" s="240">
        <f t="shared" si="57"/>
        <v>0</v>
      </c>
      <c r="AD86" s="240">
        <f t="shared" si="58"/>
        <v>0</v>
      </c>
      <c r="AE86" s="240">
        <f t="shared" si="59"/>
        <v>0</v>
      </c>
      <c r="AF86" s="240">
        <f t="shared" si="60"/>
        <v>0</v>
      </c>
      <c r="AG86" s="240">
        <f t="shared" si="61"/>
        <v>0</v>
      </c>
      <c r="AH86" s="242">
        <f t="shared" si="66"/>
        <v>0</v>
      </c>
      <c r="AI86" s="242">
        <f t="shared" si="62"/>
        <v>0</v>
      </c>
      <c r="AM86" s="240">
        <f t="shared" si="67"/>
        <v>0</v>
      </c>
      <c r="AN86" s="241">
        <v>1</v>
      </c>
      <c r="AO86" s="240">
        <f t="shared" si="67"/>
        <v>0</v>
      </c>
      <c r="AQ86" s="240">
        <f t="shared" si="63"/>
        <v>0</v>
      </c>
      <c r="AS86" s="240">
        <f t="shared" si="64"/>
        <v>0</v>
      </c>
    </row>
    <row r="87" spans="1:45" s="241" customFormat="1" ht="12" customHeight="1" x14ac:dyDescent="0.2">
      <c r="A87" s="253" t="str">
        <f t="shared" si="65"/>
        <v>allrecyclingCRY3Y1X</v>
      </c>
      <c r="B87" s="250" t="s">
        <v>465</v>
      </c>
      <c r="C87" s="232" t="s">
        <v>548</v>
      </c>
      <c r="D87" s="238">
        <v>171.83999999999997</v>
      </c>
      <c r="E87" s="238">
        <v>180.43000000000004</v>
      </c>
      <c r="F87" s="238">
        <v>180.43000000000004</v>
      </c>
      <c r="G87" s="238"/>
      <c r="H87" s="240">
        <v>10500.74</v>
      </c>
      <c r="I87" s="240">
        <v>10672.58</v>
      </c>
      <c r="J87" s="240">
        <v>11402.9</v>
      </c>
      <c r="K87" s="240">
        <v>11755.19</v>
      </c>
      <c r="L87" s="240">
        <v>11808.88</v>
      </c>
      <c r="M87" s="240">
        <v>11854</v>
      </c>
      <c r="N87" s="240">
        <v>11899.1</v>
      </c>
      <c r="O87" s="240">
        <v>12214.86</v>
      </c>
      <c r="P87" s="240">
        <v>12305.07</v>
      </c>
      <c r="Q87" s="240">
        <v>12305.07</v>
      </c>
      <c r="R87" s="240">
        <v>12665.93</v>
      </c>
      <c r="S87" s="240">
        <v>12305.07</v>
      </c>
      <c r="T87" s="240">
        <f t="shared" si="49"/>
        <v>141689.39000000001</v>
      </c>
      <c r="V87" s="240">
        <f t="shared" si="50"/>
        <v>61.107658286778403</v>
      </c>
      <c r="W87" s="240">
        <f t="shared" si="51"/>
        <v>62.10765828677841</v>
      </c>
      <c r="X87" s="240">
        <f t="shared" si="52"/>
        <v>66.357658286778403</v>
      </c>
      <c r="Y87" s="240">
        <f t="shared" si="53"/>
        <v>65.150972676384185</v>
      </c>
      <c r="Z87" s="240">
        <f t="shared" si="54"/>
        <v>65.448539599844793</v>
      </c>
      <c r="AA87" s="240">
        <f t="shared" si="55"/>
        <v>65.698608878789543</v>
      </c>
      <c r="AB87" s="240">
        <f t="shared" si="56"/>
        <v>65.948567311422707</v>
      </c>
      <c r="AC87" s="240">
        <f t="shared" si="57"/>
        <v>67.698608878789543</v>
      </c>
      <c r="AD87" s="240">
        <f t="shared" si="58"/>
        <v>68.198581167211643</v>
      </c>
      <c r="AE87" s="240">
        <f t="shared" si="59"/>
        <v>68.198581167211643</v>
      </c>
      <c r="AF87" s="240">
        <f t="shared" si="60"/>
        <v>70.198581167211643</v>
      </c>
      <c r="AG87" s="240">
        <f t="shared" si="61"/>
        <v>68.198581167211643</v>
      </c>
      <c r="AH87" s="242">
        <f t="shared" si="66"/>
        <v>66.192716406201029</v>
      </c>
      <c r="AI87" s="242">
        <f t="shared" si="62"/>
        <v>794.31259687441241</v>
      </c>
      <c r="AM87" s="240">
        <f t="shared" si="67"/>
        <v>0</v>
      </c>
      <c r="AN87" s="241">
        <v>1</v>
      </c>
      <c r="AO87" s="240">
        <f t="shared" si="67"/>
        <v>66.192716406201029</v>
      </c>
      <c r="AQ87" s="240">
        <f t="shared" si="63"/>
        <v>0</v>
      </c>
      <c r="AS87" s="240">
        <f t="shared" si="64"/>
        <v>0</v>
      </c>
    </row>
    <row r="88" spans="1:45" s="241" customFormat="1" ht="12" customHeight="1" x14ac:dyDescent="0.2">
      <c r="A88" s="253" t="str">
        <f t="shared" si="65"/>
        <v>allrecyclingCRY3Y2X</v>
      </c>
      <c r="B88" s="250" t="s">
        <v>466</v>
      </c>
      <c r="C88" s="232" t="s">
        <v>549</v>
      </c>
      <c r="D88" s="238">
        <v>310.38999999999993</v>
      </c>
      <c r="E88" s="238">
        <v>325.90999999999991</v>
      </c>
      <c r="F88" s="238">
        <v>325.90999999999991</v>
      </c>
      <c r="G88" s="238"/>
      <c r="H88" s="240">
        <v>4764.4799999999996</v>
      </c>
      <c r="I88" s="240">
        <v>4648.07</v>
      </c>
      <c r="J88" s="240">
        <v>4454.09</v>
      </c>
      <c r="K88" s="240">
        <v>4676.8099999999995</v>
      </c>
      <c r="L88" s="240">
        <v>4676.8099999999995</v>
      </c>
      <c r="M88" s="240">
        <v>5736.0499999999993</v>
      </c>
      <c r="N88" s="240">
        <v>5980.4500000000007</v>
      </c>
      <c r="O88" s="240">
        <v>5980.4500000000007</v>
      </c>
      <c r="P88" s="240">
        <v>5684.17</v>
      </c>
      <c r="Q88" s="240">
        <v>5684.17</v>
      </c>
      <c r="R88" s="240">
        <v>5480.48</v>
      </c>
      <c r="S88" s="240">
        <v>5358.26</v>
      </c>
      <c r="T88" s="240">
        <f t="shared" si="49"/>
        <v>63124.289999999986</v>
      </c>
      <c r="V88" s="240">
        <f t="shared" si="50"/>
        <v>15.349979058603694</v>
      </c>
      <c r="W88" s="240">
        <f t="shared" si="51"/>
        <v>14.97493475949612</v>
      </c>
      <c r="X88" s="240">
        <f t="shared" si="52"/>
        <v>14.349979058603695</v>
      </c>
      <c r="Y88" s="240">
        <f t="shared" si="53"/>
        <v>14.350004602497624</v>
      </c>
      <c r="Z88" s="240">
        <f t="shared" si="54"/>
        <v>14.350004602497624</v>
      </c>
      <c r="AA88" s="240">
        <f t="shared" si="55"/>
        <v>17.600104323279435</v>
      </c>
      <c r="AB88" s="240">
        <f t="shared" si="56"/>
        <v>18.350004602497631</v>
      </c>
      <c r="AC88" s="240">
        <f t="shared" si="57"/>
        <v>18.350004602497631</v>
      </c>
      <c r="AD88" s="240">
        <f t="shared" si="58"/>
        <v>17.440919272191714</v>
      </c>
      <c r="AE88" s="240">
        <f t="shared" si="59"/>
        <v>17.440919272191714</v>
      </c>
      <c r="AF88" s="240">
        <f t="shared" si="60"/>
        <v>16.815930778435767</v>
      </c>
      <c r="AG88" s="240">
        <f t="shared" si="61"/>
        <v>16.440919272191714</v>
      </c>
      <c r="AH88" s="242">
        <f t="shared" si="66"/>
        <v>16.317808683748694</v>
      </c>
      <c r="AI88" s="242">
        <f t="shared" si="62"/>
        <v>195.81370420498433</v>
      </c>
      <c r="AM88" s="240">
        <f t="shared" si="67"/>
        <v>0</v>
      </c>
      <c r="AN88" s="241">
        <v>1</v>
      </c>
      <c r="AO88" s="240">
        <f t="shared" si="67"/>
        <v>16.317808683748694</v>
      </c>
      <c r="AQ88" s="240">
        <f t="shared" si="63"/>
        <v>0</v>
      </c>
      <c r="AS88" s="240">
        <f t="shared" si="64"/>
        <v>0</v>
      </c>
    </row>
    <row r="89" spans="1:45" s="241" customFormat="1" ht="12" customHeight="1" x14ac:dyDescent="0.2">
      <c r="A89" s="253" t="str">
        <f t="shared" si="65"/>
        <v>allrecyclingCRY3Y3X</v>
      </c>
      <c r="B89" s="250" t="s">
        <v>467</v>
      </c>
      <c r="C89" s="232" t="s">
        <v>550</v>
      </c>
      <c r="D89" s="238">
        <v>448.97999999999996</v>
      </c>
      <c r="E89" s="238">
        <v>471.43</v>
      </c>
      <c r="F89" s="238">
        <v>471.43</v>
      </c>
      <c r="G89" s="238"/>
      <c r="H89" s="240">
        <v>2244.9</v>
      </c>
      <c r="I89" s="240">
        <v>2469.39</v>
      </c>
      <c r="J89" s="240">
        <v>2693.88</v>
      </c>
      <c r="K89" s="240">
        <v>2828.58</v>
      </c>
      <c r="L89" s="240">
        <v>2828.58</v>
      </c>
      <c r="M89" s="240">
        <v>1885.72</v>
      </c>
      <c r="N89" s="240">
        <v>1885.72</v>
      </c>
      <c r="O89" s="240">
        <v>1885.72</v>
      </c>
      <c r="P89" s="240">
        <v>1885.72</v>
      </c>
      <c r="Q89" s="240">
        <v>1885.72</v>
      </c>
      <c r="R89" s="240">
        <v>1885.72</v>
      </c>
      <c r="S89" s="240">
        <v>1885.72</v>
      </c>
      <c r="T89" s="240">
        <f t="shared" si="49"/>
        <v>26265.370000000006</v>
      </c>
      <c r="V89" s="240">
        <f t="shared" si="50"/>
        <v>5.0000000000000009</v>
      </c>
      <c r="W89" s="240">
        <f t="shared" si="51"/>
        <v>5.5</v>
      </c>
      <c r="X89" s="240">
        <f t="shared" si="52"/>
        <v>6.0000000000000009</v>
      </c>
      <c r="Y89" s="240">
        <f t="shared" si="53"/>
        <v>6</v>
      </c>
      <c r="Z89" s="240">
        <f t="shared" si="54"/>
        <v>6</v>
      </c>
      <c r="AA89" s="240">
        <f t="shared" si="55"/>
        <v>4</v>
      </c>
      <c r="AB89" s="240">
        <f t="shared" si="56"/>
        <v>4</v>
      </c>
      <c r="AC89" s="240">
        <f t="shared" si="57"/>
        <v>4</v>
      </c>
      <c r="AD89" s="240">
        <f t="shared" si="58"/>
        <v>4</v>
      </c>
      <c r="AE89" s="240">
        <f t="shared" si="59"/>
        <v>4</v>
      </c>
      <c r="AF89" s="240">
        <f t="shared" si="60"/>
        <v>4</v>
      </c>
      <c r="AG89" s="240">
        <f t="shared" si="61"/>
        <v>4</v>
      </c>
      <c r="AH89" s="242">
        <f t="shared" si="66"/>
        <v>4.708333333333333</v>
      </c>
      <c r="AI89" s="242">
        <f t="shared" si="62"/>
        <v>56.5</v>
      </c>
      <c r="AM89" s="240">
        <f t="shared" si="67"/>
        <v>0</v>
      </c>
      <c r="AN89" s="241">
        <v>1</v>
      </c>
      <c r="AO89" s="240">
        <f t="shared" si="67"/>
        <v>4.708333333333333</v>
      </c>
      <c r="AQ89" s="240">
        <f t="shared" si="63"/>
        <v>0</v>
      </c>
      <c r="AS89" s="240">
        <f t="shared" si="64"/>
        <v>0</v>
      </c>
    </row>
    <row r="90" spans="1:45" s="241" customFormat="1" ht="12" customHeight="1" x14ac:dyDescent="0.2">
      <c r="A90" s="253" t="str">
        <f t="shared" si="65"/>
        <v>allrecyclingCRY3Y4X</v>
      </c>
      <c r="B90" s="250" t="s">
        <v>880</v>
      </c>
      <c r="C90" s="232" t="s">
        <v>892</v>
      </c>
      <c r="D90" s="238">
        <v>587.54</v>
      </c>
      <c r="E90" s="238">
        <v>616.91999999999996</v>
      </c>
      <c r="F90" s="238">
        <v>616.91999999999996</v>
      </c>
      <c r="G90" s="238"/>
      <c r="H90" s="240">
        <v>543.02</v>
      </c>
      <c r="I90" s="240">
        <v>543.02</v>
      </c>
      <c r="J90" s="240">
        <v>543.02</v>
      </c>
      <c r="K90" s="240">
        <v>570.16999999999996</v>
      </c>
      <c r="L90" s="240">
        <v>570.16999999999996</v>
      </c>
      <c r="M90" s="240">
        <v>570.16999999999996</v>
      </c>
      <c r="N90" s="240">
        <v>570.16999999999996</v>
      </c>
      <c r="O90" s="240">
        <v>570.16999999999996</v>
      </c>
      <c r="P90" s="240">
        <v>570.16999999999996</v>
      </c>
      <c r="Q90" s="240">
        <v>598.67999999999995</v>
      </c>
      <c r="R90" s="240">
        <v>598.67999999999995</v>
      </c>
      <c r="S90" s="240">
        <v>598.67999999999995</v>
      </c>
      <c r="T90" s="240">
        <f t="shared" si="49"/>
        <v>6846.1200000000008</v>
      </c>
      <c r="V90" s="240">
        <f t="shared" si="50"/>
        <v>0.92422643564693474</v>
      </c>
      <c r="W90" s="240">
        <f t="shared" si="51"/>
        <v>0.92422643564693474</v>
      </c>
      <c r="X90" s="240">
        <f t="shared" si="52"/>
        <v>0.92422643564693474</v>
      </c>
      <c r="Y90" s="240">
        <f t="shared" si="53"/>
        <v>0.92422032030084933</v>
      </c>
      <c r="Z90" s="240">
        <f t="shared" si="54"/>
        <v>0.92422032030084933</v>
      </c>
      <c r="AA90" s="240">
        <f t="shared" si="55"/>
        <v>0.92422032030084933</v>
      </c>
      <c r="AB90" s="240">
        <f t="shared" si="56"/>
        <v>0.92422032030084933</v>
      </c>
      <c r="AC90" s="240">
        <f t="shared" si="57"/>
        <v>0.92422032030084933</v>
      </c>
      <c r="AD90" s="240">
        <f t="shared" si="58"/>
        <v>0.92422032030084933</v>
      </c>
      <c r="AE90" s="240">
        <f t="shared" si="59"/>
        <v>0.9704337677494651</v>
      </c>
      <c r="AF90" s="240">
        <f t="shared" si="60"/>
        <v>0.9704337677494651</v>
      </c>
      <c r="AG90" s="240">
        <f t="shared" si="61"/>
        <v>0.9704337677494651</v>
      </c>
      <c r="AH90" s="242">
        <f t="shared" si="66"/>
        <v>0.93577521099952465</v>
      </c>
      <c r="AI90" s="242">
        <f t="shared" si="62"/>
        <v>11.229302531994296</v>
      </c>
      <c r="AM90" s="240">
        <f t="shared" si="67"/>
        <v>0</v>
      </c>
      <c r="AN90" s="241">
        <v>1</v>
      </c>
      <c r="AO90" s="240">
        <f t="shared" si="67"/>
        <v>0.93577521099952465</v>
      </c>
      <c r="AQ90" s="240">
        <f t="shared" si="63"/>
        <v>0</v>
      </c>
      <c r="AS90" s="240">
        <f t="shared" si="64"/>
        <v>0</v>
      </c>
    </row>
    <row r="91" spans="1:45" s="241" customFormat="1" ht="12" customHeight="1" x14ac:dyDescent="0.2">
      <c r="A91" s="253" t="str">
        <f t="shared" si="65"/>
        <v>allrecyclingCRY3Y5X</v>
      </c>
      <c r="B91" s="250" t="s">
        <v>468</v>
      </c>
      <c r="C91" s="232" t="s">
        <v>551</v>
      </c>
      <c r="D91" s="238">
        <v>721.66</v>
      </c>
      <c r="E91" s="238">
        <v>757.7399999999999</v>
      </c>
      <c r="F91" s="238">
        <v>757.7399999999999</v>
      </c>
      <c r="G91" s="238"/>
      <c r="H91" s="240">
        <v>0</v>
      </c>
      <c r="I91" s="240">
        <v>0</v>
      </c>
      <c r="J91" s="240">
        <v>0</v>
      </c>
      <c r="K91" s="240">
        <v>0</v>
      </c>
      <c r="L91" s="240">
        <v>0</v>
      </c>
      <c r="M91" s="240">
        <v>0</v>
      </c>
      <c r="N91" s="240">
        <v>0</v>
      </c>
      <c r="O91" s="240">
        <v>0</v>
      </c>
      <c r="P91" s="240">
        <v>0</v>
      </c>
      <c r="Q91" s="240">
        <v>0</v>
      </c>
      <c r="R91" s="240">
        <v>0</v>
      </c>
      <c r="S91" s="240">
        <v>0</v>
      </c>
      <c r="T91" s="240">
        <f t="shared" si="49"/>
        <v>0</v>
      </c>
      <c r="V91" s="240">
        <f t="shared" si="50"/>
        <v>0</v>
      </c>
      <c r="W91" s="240">
        <f t="shared" si="51"/>
        <v>0</v>
      </c>
      <c r="X91" s="240">
        <f t="shared" si="52"/>
        <v>0</v>
      </c>
      <c r="Y91" s="240">
        <f t="shared" si="53"/>
        <v>0</v>
      </c>
      <c r="Z91" s="240">
        <f t="shared" si="54"/>
        <v>0</v>
      </c>
      <c r="AA91" s="240">
        <f t="shared" si="55"/>
        <v>0</v>
      </c>
      <c r="AB91" s="240">
        <f t="shared" si="56"/>
        <v>0</v>
      </c>
      <c r="AC91" s="240">
        <f t="shared" si="57"/>
        <v>0</v>
      </c>
      <c r="AD91" s="240">
        <f t="shared" si="58"/>
        <v>0</v>
      </c>
      <c r="AE91" s="240">
        <f t="shared" si="59"/>
        <v>0</v>
      </c>
      <c r="AF91" s="240">
        <f t="shared" si="60"/>
        <v>0</v>
      </c>
      <c r="AG91" s="240">
        <f t="shared" si="61"/>
        <v>0</v>
      </c>
      <c r="AH91" s="242">
        <f t="shared" si="66"/>
        <v>0</v>
      </c>
      <c r="AI91" s="242">
        <f t="shared" si="62"/>
        <v>0</v>
      </c>
      <c r="AM91" s="240">
        <f t="shared" si="67"/>
        <v>0</v>
      </c>
      <c r="AN91" s="241">
        <v>1</v>
      </c>
      <c r="AO91" s="240">
        <f t="shared" si="67"/>
        <v>0</v>
      </c>
      <c r="AQ91" s="240">
        <f t="shared" si="63"/>
        <v>0</v>
      </c>
      <c r="AS91" s="240">
        <f t="shared" si="64"/>
        <v>0</v>
      </c>
    </row>
    <row r="92" spans="1:45" s="241" customFormat="1" ht="12" customHeight="1" x14ac:dyDescent="0.2">
      <c r="A92" s="253" t="str">
        <f t="shared" si="65"/>
        <v>allrecyclingCRY3YEOW</v>
      </c>
      <c r="B92" s="250" t="s">
        <v>469</v>
      </c>
      <c r="C92" s="232" t="s">
        <v>552</v>
      </c>
      <c r="D92" s="238">
        <v>106</v>
      </c>
      <c r="E92" s="238">
        <v>111.29999999999998</v>
      </c>
      <c r="F92" s="238">
        <v>111.29999999999998</v>
      </c>
      <c r="G92" s="238"/>
      <c r="H92" s="240">
        <v>2382.6</v>
      </c>
      <c r="I92" s="240">
        <v>2382.6</v>
      </c>
      <c r="J92" s="240">
        <v>2594.6</v>
      </c>
      <c r="K92" s="240">
        <v>2835.64</v>
      </c>
      <c r="L92" s="240">
        <v>2946.94</v>
      </c>
      <c r="M92" s="240">
        <v>2891.29</v>
      </c>
      <c r="N92" s="240">
        <v>3058.2400000000002</v>
      </c>
      <c r="O92" s="240">
        <v>2613.04</v>
      </c>
      <c r="P92" s="240">
        <v>2613.04</v>
      </c>
      <c r="Q92" s="240">
        <v>2613.04</v>
      </c>
      <c r="R92" s="240">
        <v>2613.04</v>
      </c>
      <c r="S92" s="240">
        <v>2724.34</v>
      </c>
      <c r="T92" s="240">
        <f t="shared" si="49"/>
        <v>32268.410000000003</v>
      </c>
      <c r="V92" s="240">
        <f t="shared" si="50"/>
        <v>22.477358490566036</v>
      </c>
      <c r="W92" s="240">
        <f t="shared" si="51"/>
        <v>22.477358490566036</v>
      </c>
      <c r="X92" s="240">
        <f t="shared" si="52"/>
        <v>24.477358490566036</v>
      </c>
      <c r="Y92" s="240">
        <f t="shared" si="53"/>
        <v>25.477448337825699</v>
      </c>
      <c r="Z92" s="240">
        <f t="shared" si="54"/>
        <v>26.477448337825702</v>
      </c>
      <c r="AA92" s="240">
        <f t="shared" si="55"/>
        <v>25.977448337825699</v>
      </c>
      <c r="AB92" s="240">
        <f t="shared" si="56"/>
        <v>27.477448337825702</v>
      </c>
      <c r="AC92" s="240">
        <f t="shared" si="57"/>
        <v>23.477448337825699</v>
      </c>
      <c r="AD92" s="240">
        <f t="shared" si="58"/>
        <v>23.477448337825699</v>
      </c>
      <c r="AE92" s="240">
        <f t="shared" si="59"/>
        <v>23.477448337825699</v>
      </c>
      <c r="AF92" s="240">
        <f t="shared" si="60"/>
        <v>23.477448337825699</v>
      </c>
      <c r="AG92" s="240">
        <f t="shared" si="61"/>
        <v>24.477448337825702</v>
      </c>
      <c r="AH92" s="242">
        <f t="shared" si="66"/>
        <v>24.435759209344123</v>
      </c>
      <c r="AI92" s="242">
        <f t="shared" si="62"/>
        <v>293.22911051212947</v>
      </c>
      <c r="AM92" s="240">
        <f t="shared" si="67"/>
        <v>0</v>
      </c>
      <c r="AN92" s="241">
        <v>1</v>
      </c>
      <c r="AO92" s="240">
        <f t="shared" si="67"/>
        <v>24.435759209344123</v>
      </c>
      <c r="AQ92" s="240">
        <f t="shared" si="63"/>
        <v>0</v>
      </c>
      <c r="AS92" s="240">
        <f t="shared" si="64"/>
        <v>0</v>
      </c>
    </row>
    <row r="93" spans="1:45" s="241" customFormat="1" ht="12" customHeight="1" x14ac:dyDescent="0.2">
      <c r="A93" s="253" t="str">
        <f>"all"&amp;"recycling"&amp;B93</f>
        <v>allrecyclingCRY4Y1MO</v>
      </c>
      <c r="B93" s="250" t="s">
        <v>881</v>
      </c>
      <c r="C93" s="232" t="s">
        <v>893</v>
      </c>
      <c r="D93" s="238">
        <v>59.039999999999992</v>
      </c>
      <c r="E93" s="238">
        <v>61.989999999999995</v>
      </c>
      <c r="F93" s="238">
        <v>61.989999999999995</v>
      </c>
      <c r="G93" s="238"/>
      <c r="H93" s="240">
        <v>0</v>
      </c>
      <c r="I93" s="240">
        <v>0</v>
      </c>
      <c r="J93" s="240">
        <v>0</v>
      </c>
      <c r="K93" s="240">
        <v>0</v>
      </c>
      <c r="L93" s="240">
        <v>0</v>
      </c>
      <c r="M93" s="240">
        <v>0</v>
      </c>
      <c r="N93" s="240">
        <v>0</v>
      </c>
      <c r="O93" s="240">
        <v>0</v>
      </c>
      <c r="P93" s="240">
        <v>0</v>
      </c>
      <c r="Q93" s="240">
        <v>0</v>
      </c>
      <c r="R93" s="240">
        <v>0</v>
      </c>
      <c r="S93" s="240">
        <v>0</v>
      </c>
      <c r="T93" s="240">
        <f t="shared" si="49"/>
        <v>0</v>
      </c>
      <c r="V93" s="240">
        <f t="shared" si="50"/>
        <v>0</v>
      </c>
      <c r="W93" s="240">
        <f t="shared" si="51"/>
        <v>0</v>
      </c>
      <c r="X93" s="240">
        <f t="shared" si="52"/>
        <v>0</v>
      </c>
      <c r="Y93" s="240">
        <f t="shared" si="53"/>
        <v>0</v>
      </c>
      <c r="Z93" s="240">
        <f t="shared" si="54"/>
        <v>0</v>
      </c>
      <c r="AA93" s="240">
        <f t="shared" si="55"/>
        <v>0</v>
      </c>
      <c r="AB93" s="240">
        <f t="shared" si="56"/>
        <v>0</v>
      </c>
      <c r="AC93" s="240">
        <f t="shared" si="57"/>
        <v>0</v>
      </c>
      <c r="AD93" s="240">
        <f t="shared" si="58"/>
        <v>0</v>
      </c>
      <c r="AE93" s="240">
        <f t="shared" si="59"/>
        <v>0</v>
      </c>
      <c r="AF93" s="240">
        <f t="shared" si="60"/>
        <v>0</v>
      </c>
      <c r="AG93" s="240">
        <f t="shared" si="61"/>
        <v>0</v>
      </c>
      <c r="AH93" s="242">
        <f>+IFERROR(AVERAGE(V93:AG93),0)</f>
        <v>0</v>
      </c>
      <c r="AI93" s="242">
        <f t="shared" si="62"/>
        <v>0</v>
      </c>
      <c r="AM93" s="240">
        <f t="shared" si="67"/>
        <v>0</v>
      </c>
      <c r="AN93" s="241">
        <v>1</v>
      </c>
      <c r="AO93" s="240">
        <f t="shared" si="67"/>
        <v>0</v>
      </c>
      <c r="AQ93" s="240">
        <f t="shared" si="63"/>
        <v>0</v>
      </c>
      <c r="AS93" s="240">
        <f t="shared" si="64"/>
        <v>0</v>
      </c>
    </row>
    <row r="94" spans="1:45" s="241" customFormat="1" ht="12" customHeight="1" x14ac:dyDescent="0.2">
      <c r="A94" s="253" t="str">
        <f t="shared" si="65"/>
        <v>allrecyclingCRY4Y1X</v>
      </c>
      <c r="B94" s="250" t="s">
        <v>470</v>
      </c>
      <c r="C94" s="232" t="s">
        <v>553</v>
      </c>
      <c r="D94" s="238">
        <v>188.52</v>
      </c>
      <c r="E94" s="238">
        <v>197.95000000000002</v>
      </c>
      <c r="F94" s="238">
        <v>197.95000000000002</v>
      </c>
      <c r="G94" s="238"/>
      <c r="H94" s="240">
        <v>14705.82</v>
      </c>
      <c r="I94" s="240">
        <v>14752.949999999999</v>
      </c>
      <c r="J94" s="240">
        <v>15227.1</v>
      </c>
      <c r="K94" s="240">
        <v>14997.029999999999</v>
      </c>
      <c r="L94" s="240">
        <v>15673.349999999999</v>
      </c>
      <c r="M94" s="240">
        <v>15591.07</v>
      </c>
      <c r="N94" s="240">
        <v>15155.800000000001</v>
      </c>
      <c r="O94" s="240">
        <v>15085.930000000002</v>
      </c>
      <c r="P94" s="240">
        <v>15085.92</v>
      </c>
      <c r="Q94" s="240">
        <v>15029.98</v>
      </c>
      <c r="R94" s="240">
        <v>15326.91</v>
      </c>
      <c r="S94" s="240">
        <v>15698.509999999998</v>
      </c>
      <c r="T94" s="240">
        <f t="shared" si="49"/>
        <v>182330.37000000005</v>
      </c>
      <c r="V94" s="240">
        <f t="shared" si="50"/>
        <v>78.006683640992989</v>
      </c>
      <c r="W94" s="240">
        <f t="shared" si="51"/>
        <v>78.256683640992989</v>
      </c>
      <c r="X94" s="240">
        <f t="shared" si="52"/>
        <v>80.771801400381918</v>
      </c>
      <c r="Y94" s="240">
        <f t="shared" si="53"/>
        <v>75.761707501894406</v>
      </c>
      <c r="Z94" s="240">
        <f t="shared" si="54"/>
        <v>79.178327860570832</v>
      </c>
      <c r="AA94" s="240">
        <f t="shared" si="55"/>
        <v>78.762667340237428</v>
      </c>
      <c r="AB94" s="240">
        <f t="shared" si="56"/>
        <v>76.56377873200303</v>
      </c>
      <c r="AC94" s="240">
        <f t="shared" si="57"/>
        <v>76.210810810810813</v>
      </c>
      <c r="AD94" s="240">
        <f t="shared" si="58"/>
        <v>76.210760293003275</v>
      </c>
      <c r="AE94" s="240">
        <f t="shared" si="59"/>
        <v>75.928163677696375</v>
      </c>
      <c r="AF94" s="240">
        <f t="shared" si="60"/>
        <v>77.428188936600151</v>
      </c>
      <c r="AG94" s="240">
        <f t="shared" si="61"/>
        <v>79.305430664309156</v>
      </c>
      <c r="AH94" s="242">
        <f t="shared" si="66"/>
        <v>77.698750374957783</v>
      </c>
      <c r="AI94" s="242">
        <f t="shared" si="62"/>
        <v>932.38500449949345</v>
      </c>
      <c r="AM94" s="240">
        <f t="shared" si="67"/>
        <v>0</v>
      </c>
      <c r="AN94" s="241">
        <v>1</v>
      </c>
      <c r="AO94" s="240">
        <f t="shared" si="67"/>
        <v>77.698750374957783</v>
      </c>
      <c r="AQ94" s="240">
        <f t="shared" si="63"/>
        <v>0</v>
      </c>
      <c r="AS94" s="240">
        <f t="shared" si="64"/>
        <v>0</v>
      </c>
    </row>
    <row r="95" spans="1:45" s="241" customFormat="1" ht="12" customHeight="1" x14ac:dyDescent="0.2">
      <c r="A95" s="253" t="str">
        <f t="shared" si="65"/>
        <v>allrecyclingCRY4Y2X</v>
      </c>
      <c r="B95" s="250" t="s">
        <v>471</v>
      </c>
      <c r="C95" s="232" t="s">
        <v>554</v>
      </c>
      <c r="D95" s="238">
        <v>338.11000000000007</v>
      </c>
      <c r="E95" s="238">
        <v>355.02000000000004</v>
      </c>
      <c r="F95" s="238">
        <v>355.02000000000004</v>
      </c>
      <c r="G95" s="238"/>
      <c r="H95" s="240">
        <v>13447.49</v>
      </c>
      <c r="I95" s="240">
        <v>13236.18</v>
      </c>
      <c r="J95" s="240">
        <v>13516.6</v>
      </c>
      <c r="K95" s="240">
        <v>14203.03</v>
      </c>
      <c r="L95" s="240">
        <v>14114.27</v>
      </c>
      <c r="M95" s="240">
        <v>13936.77</v>
      </c>
      <c r="N95" s="240">
        <v>13848.01</v>
      </c>
      <c r="O95" s="240">
        <v>13848.01</v>
      </c>
      <c r="P95" s="240">
        <v>13848.01</v>
      </c>
      <c r="Q95" s="240">
        <v>14231.67</v>
      </c>
      <c r="R95" s="240">
        <v>14453.56</v>
      </c>
      <c r="S95" s="240">
        <v>14986.83</v>
      </c>
      <c r="T95" s="240">
        <f t="shared" si="49"/>
        <v>167670.42999999996</v>
      </c>
      <c r="V95" s="240">
        <f t="shared" si="50"/>
        <v>39.77252965011386</v>
      </c>
      <c r="W95" s="240">
        <f t="shared" si="51"/>
        <v>39.147555529265617</v>
      </c>
      <c r="X95" s="240">
        <f t="shared" si="52"/>
        <v>39.97693058472094</v>
      </c>
      <c r="Y95" s="240">
        <f t="shared" si="53"/>
        <v>40.006281336262745</v>
      </c>
      <c r="Z95" s="240">
        <f t="shared" si="54"/>
        <v>39.756267252549151</v>
      </c>
      <c r="AA95" s="240">
        <f t="shared" si="55"/>
        <v>39.25629541997634</v>
      </c>
      <c r="AB95" s="240">
        <f t="shared" si="56"/>
        <v>39.006281336262745</v>
      </c>
      <c r="AC95" s="240">
        <f t="shared" si="57"/>
        <v>39.006281336262745</v>
      </c>
      <c r="AD95" s="240">
        <f t="shared" si="58"/>
        <v>39.006281336262745</v>
      </c>
      <c r="AE95" s="240">
        <f t="shared" si="59"/>
        <v>40.086952847726884</v>
      </c>
      <c r="AF95" s="240">
        <f t="shared" si="60"/>
        <v>40.711959889583682</v>
      </c>
      <c r="AG95" s="240">
        <f t="shared" si="61"/>
        <v>42.214044279195534</v>
      </c>
      <c r="AH95" s="242">
        <f t="shared" si="66"/>
        <v>39.828971733181916</v>
      </c>
      <c r="AI95" s="242">
        <f t="shared" si="62"/>
        <v>477.94766079818299</v>
      </c>
      <c r="AM95" s="240">
        <f t="shared" si="67"/>
        <v>0</v>
      </c>
      <c r="AN95" s="241">
        <v>1</v>
      </c>
      <c r="AO95" s="240">
        <f t="shared" si="67"/>
        <v>39.828971733181916</v>
      </c>
      <c r="AQ95" s="240">
        <f t="shared" si="63"/>
        <v>0</v>
      </c>
      <c r="AS95" s="240">
        <f t="shared" si="64"/>
        <v>0</v>
      </c>
    </row>
    <row r="96" spans="1:45" s="241" customFormat="1" ht="12" customHeight="1" x14ac:dyDescent="0.2">
      <c r="A96" s="253" t="str">
        <f t="shared" si="65"/>
        <v>allrecyclingCRY4Y3X</v>
      </c>
      <c r="B96" s="250" t="s">
        <v>472</v>
      </c>
      <c r="C96" s="232" t="s">
        <v>555</v>
      </c>
      <c r="D96" s="238">
        <v>487.76000000000016</v>
      </c>
      <c r="E96" s="238">
        <v>512.15</v>
      </c>
      <c r="F96" s="238">
        <v>512.15</v>
      </c>
      <c r="G96" s="238"/>
      <c r="H96" s="240">
        <v>4273.63</v>
      </c>
      <c r="I96" s="240">
        <v>4761.3900000000003</v>
      </c>
      <c r="J96" s="240">
        <v>4476.8599999999997</v>
      </c>
      <c r="K96" s="240">
        <v>4466.84</v>
      </c>
      <c r="L96" s="240">
        <v>4637.55</v>
      </c>
      <c r="M96" s="240">
        <v>4850.96</v>
      </c>
      <c r="N96" s="240">
        <v>4978.99</v>
      </c>
      <c r="O96" s="240">
        <v>4978.99</v>
      </c>
      <c r="P96" s="240">
        <v>4978.99</v>
      </c>
      <c r="Q96" s="240">
        <v>4999.47</v>
      </c>
      <c r="R96" s="240">
        <v>4999.47</v>
      </c>
      <c r="S96" s="240">
        <v>4999.47</v>
      </c>
      <c r="T96" s="240">
        <f t="shared" si="49"/>
        <v>57402.61</v>
      </c>
      <c r="V96" s="240">
        <f t="shared" si="50"/>
        <v>8.7617475807774294</v>
      </c>
      <c r="W96" s="240">
        <f t="shared" si="51"/>
        <v>9.7617475807774294</v>
      </c>
      <c r="X96" s="240">
        <f t="shared" si="52"/>
        <v>9.1784074134820361</v>
      </c>
      <c r="Y96" s="240">
        <f t="shared" si="53"/>
        <v>8.7217416772429956</v>
      </c>
      <c r="Z96" s="240">
        <f t="shared" si="54"/>
        <v>9.0550619935565759</v>
      </c>
      <c r="AA96" s="240">
        <f t="shared" si="55"/>
        <v>9.4717563213902185</v>
      </c>
      <c r="AB96" s="240">
        <f t="shared" si="56"/>
        <v>9.7217416772429956</v>
      </c>
      <c r="AC96" s="240">
        <f t="shared" si="57"/>
        <v>9.7217416772429956</v>
      </c>
      <c r="AD96" s="240">
        <f t="shared" si="58"/>
        <v>9.7217416772429956</v>
      </c>
      <c r="AE96" s="240">
        <f t="shared" si="59"/>
        <v>9.7617299619252176</v>
      </c>
      <c r="AF96" s="240">
        <f t="shared" si="60"/>
        <v>9.7617299619252176</v>
      </c>
      <c r="AG96" s="240">
        <f t="shared" si="61"/>
        <v>9.7617299619252176</v>
      </c>
      <c r="AH96" s="242">
        <f t="shared" si="66"/>
        <v>9.4500731237276092</v>
      </c>
      <c r="AI96" s="242">
        <f t="shared" si="62"/>
        <v>113.40087748473131</v>
      </c>
      <c r="AM96" s="240">
        <f t="shared" si="67"/>
        <v>0</v>
      </c>
      <c r="AN96" s="241">
        <v>1</v>
      </c>
      <c r="AO96" s="240">
        <f t="shared" si="67"/>
        <v>9.4500731237276092</v>
      </c>
      <c r="AQ96" s="240">
        <f t="shared" si="63"/>
        <v>0</v>
      </c>
      <c r="AS96" s="240">
        <f t="shared" si="64"/>
        <v>0</v>
      </c>
    </row>
    <row r="97" spans="1:45" s="241" customFormat="1" ht="12" customHeight="1" x14ac:dyDescent="0.2">
      <c r="A97" s="253" t="str">
        <f t="shared" si="65"/>
        <v>allrecyclingCRY4Y4X</v>
      </c>
      <c r="B97" s="250" t="s">
        <v>882</v>
      </c>
      <c r="C97" s="232" t="s">
        <v>894</v>
      </c>
      <c r="D97" s="238">
        <v>715.0100000000001</v>
      </c>
      <c r="E97" s="238">
        <v>750.7600000000001</v>
      </c>
      <c r="F97" s="238">
        <v>750.7600000000001</v>
      </c>
      <c r="G97" s="238"/>
      <c r="H97" s="240">
        <v>0</v>
      </c>
      <c r="I97" s="240">
        <v>0</v>
      </c>
      <c r="J97" s="240">
        <v>0</v>
      </c>
      <c r="K97" s="240">
        <v>0</v>
      </c>
      <c r="L97" s="240">
        <v>0</v>
      </c>
      <c r="M97" s="240">
        <v>0</v>
      </c>
      <c r="N97" s="240">
        <v>0</v>
      </c>
      <c r="O97" s="240">
        <v>0</v>
      </c>
      <c r="P97" s="240">
        <v>0</v>
      </c>
      <c r="Q97" s="240">
        <v>0</v>
      </c>
      <c r="R97" s="240">
        <v>0</v>
      </c>
      <c r="S97" s="240">
        <v>0</v>
      </c>
      <c r="T97" s="240">
        <f t="shared" si="49"/>
        <v>0</v>
      </c>
      <c r="V97" s="240">
        <f t="shared" si="50"/>
        <v>0</v>
      </c>
      <c r="W97" s="240">
        <f t="shared" si="51"/>
        <v>0</v>
      </c>
      <c r="X97" s="240">
        <f t="shared" si="52"/>
        <v>0</v>
      </c>
      <c r="Y97" s="240">
        <f t="shared" si="53"/>
        <v>0</v>
      </c>
      <c r="Z97" s="240">
        <f t="shared" si="54"/>
        <v>0</v>
      </c>
      <c r="AA97" s="240">
        <f t="shared" si="55"/>
        <v>0</v>
      </c>
      <c r="AB97" s="240">
        <f t="shared" si="56"/>
        <v>0</v>
      </c>
      <c r="AC97" s="240">
        <f t="shared" si="57"/>
        <v>0</v>
      </c>
      <c r="AD97" s="240">
        <f t="shared" si="58"/>
        <v>0</v>
      </c>
      <c r="AE97" s="240">
        <f t="shared" si="59"/>
        <v>0</v>
      </c>
      <c r="AF97" s="240">
        <f t="shared" si="60"/>
        <v>0</v>
      </c>
      <c r="AG97" s="240">
        <f t="shared" si="61"/>
        <v>0</v>
      </c>
      <c r="AH97" s="242">
        <f t="shared" si="66"/>
        <v>0</v>
      </c>
      <c r="AI97" s="242">
        <f t="shared" si="62"/>
        <v>0</v>
      </c>
      <c r="AM97" s="240">
        <f t="shared" si="67"/>
        <v>0</v>
      </c>
      <c r="AN97" s="241">
        <v>1</v>
      </c>
      <c r="AO97" s="240">
        <f t="shared" si="67"/>
        <v>0</v>
      </c>
      <c r="AQ97" s="240">
        <f t="shared" si="63"/>
        <v>0</v>
      </c>
      <c r="AS97" s="240">
        <f t="shared" si="64"/>
        <v>0</v>
      </c>
    </row>
    <row r="98" spans="1:45" s="241" customFormat="1" ht="12" customHeight="1" x14ac:dyDescent="0.2">
      <c r="A98" s="253" t="str">
        <f t="shared" si="65"/>
        <v>allrecyclingCRY4Y5X</v>
      </c>
      <c r="B98" s="250" t="s">
        <v>883</v>
      </c>
      <c r="C98" s="232" t="s">
        <v>895</v>
      </c>
      <c r="D98" s="238">
        <v>787.09</v>
      </c>
      <c r="E98" s="238">
        <v>826.44000000000028</v>
      </c>
      <c r="F98" s="238">
        <v>826.44000000000028</v>
      </c>
      <c r="G98" s="238"/>
      <c r="H98" s="240">
        <v>2289.7199999999998</v>
      </c>
      <c r="I98" s="240">
        <v>2289.7199999999998</v>
      </c>
      <c r="J98" s="240">
        <v>2289.7199999999998</v>
      </c>
      <c r="K98" s="240">
        <v>2404.1999999999998</v>
      </c>
      <c r="L98" s="240">
        <v>2479.3200000000002</v>
      </c>
      <c r="M98" s="240">
        <v>2479.3200000000002</v>
      </c>
      <c r="N98" s="240">
        <v>2479.3200000000002</v>
      </c>
      <c r="O98" s="240">
        <v>2479.3200000000002</v>
      </c>
      <c r="P98" s="240">
        <v>2479.3200000000002</v>
      </c>
      <c r="Q98" s="240">
        <v>2479.3200000000002</v>
      </c>
      <c r="R98" s="240">
        <v>2479.3200000000002</v>
      </c>
      <c r="S98" s="240">
        <v>2479.3200000000002</v>
      </c>
      <c r="T98" s="240">
        <f t="shared" si="49"/>
        <v>29107.919999999998</v>
      </c>
      <c r="V98" s="240">
        <f t="shared" si="50"/>
        <v>2.9090955291008647</v>
      </c>
      <c r="W98" s="240">
        <f t="shared" si="51"/>
        <v>2.9090955291008647</v>
      </c>
      <c r="X98" s="240">
        <f t="shared" si="52"/>
        <v>2.9090955291008647</v>
      </c>
      <c r="Y98" s="240">
        <f t="shared" si="53"/>
        <v>2.9091041091912286</v>
      </c>
      <c r="Z98" s="240">
        <f t="shared" si="54"/>
        <v>2.9999999999999991</v>
      </c>
      <c r="AA98" s="240">
        <f t="shared" si="55"/>
        <v>2.9999999999999991</v>
      </c>
      <c r="AB98" s="240">
        <f t="shared" si="56"/>
        <v>2.9999999999999991</v>
      </c>
      <c r="AC98" s="240">
        <f t="shared" si="57"/>
        <v>2.9999999999999991</v>
      </c>
      <c r="AD98" s="240">
        <f t="shared" si="58"/>
        <v>2.9999999999999991</v>
      </c>
      <c r="AE98" s="240">
        <f t="shared" si="59"/>
        <v>2.9999999999999991</v>
      </c>
      <c r="AF98" s="240">
        <f t="shared" si="60"/>
        <v>2.9999999999999991</v>
      </c>
      <c r="AG98" s="240">
        <f t="shared" si="61"/>
        <v>2.9999999999999991</v>
      </c>
      <c r="AH98" s="242">
        <f t="shared" si="66"/>
        <v>2.9696992247078184</v>
      </c>
      <c r="AI98" s="242">
        <f t="shared" si="62"/>
        <v>35.63639069649382</v>
      </c>
      <c r="AM98" s="240">
        <f t="shared" si="67"/>
        <v>0</v>
      </c>
      <c r="AN98" s="241">
        <v>1</v>
      </c>
      <c r="AO98" s="240">
        <f t="shared" si="67"/>
        <v>2.9696992247078184</v>
      </c>
      <c r="AQ98" s="240">
        <f t="shared" si="63"/>
        <v>0</v>
      </c>
      <c r="AS98" s="240">
        <f t="shared" si="64"/>
        <v>0</v>
      </c>
    </row>
    <row r="99" spans="1:45" s="241" customFormat="1" ht="12" customHeight="1" x14ac:dyDescent="0.2">
      <c r="A99" s="253" t="str">
        <f t="shared" si="65"/>
        <v>allrecyclingCRY4YEOW</v>
      </c>
      <c r="B99" s="250" t="s">
        <v>473</v>
      </c>
      <c r="C99" s="232" t="s">
        <v>556</v>
      </c>
      <c r="D99" s="238">
        <v>117.47000000000001</v>
      </c>
      <c r="E99" s="238">
        <v>123.34000000000002</v>
      </c>
      <c r="F99" s="238">
        <v>123.34000000000002</v>
      </c>
      <c r="G99" s="238"/>
      <c r="H99" s="240">
        <v>2975.23</v>
      </c>
      <c r="I99" s="240">
        <v>2916.48</v>
      </c>
      <c r="J99" s="240">
        <v>2857.7599999999998</v>
      </c>
      <c r="K99" s="240">
        <v>3329.73</v>
      </c>
      <c r="L99" s="240">
        <v>3094.8</v>
      </c>
      <c r="M99" s="240">
        <v>3218.14</v>
      </c>
      <c r="N99" s="240">
        <v>3218.1400000000003</v>
      </c>
      <c r="O99" s="240">
        <v>3218.1400000000003</v>
      </c>
      <c r="P99" s="240">
        <v>3218.1400000000003</v>
      </c>
      <c r="Q99" s="240">
        <v>3229.7799999999997</v>
      </c>
      <c r="R99" s="240">
        <v>3353.12</v>
      </c>
      <c r="S99" s="240">
        <v>3359.37</v>
      </c>
      <c r="T99" s="240">
        <f t="shared" si="49"/>
        <v>37988.83</v>
      </c>
      <c r="V99" s="240">
        <f t="shared" si="50"/>
        <v>25.327572997361024</v>
      </c>
      <c r="W99" s="240">
        <f t="shared" si="51"/>
        <v>24.827445305184298</v>
      </c>
      <c r="X99" s="240">
        <f t="shared" si="52"/>
        <v>24.327572997361024</v>
      </c>
      <c r="Y99" s="240">
        <f t="shared" si="53"/>
        <v>26.996351548564938</v>
      </c>
      <c r="Z99" s="240">
        <f t="shared" si="54"/>
        <v>25.09161666936922</v>
      </c>
      <c r="AA99" s="240">
        <f t="shared" si="55"/>
        <v>26.09161666936922</v>
      </c>
      <c r="AB99" s="240">
        <f t="shared" si="56"/>
        <v>26.091616669369223</v>
      </c>
      <c r="AC99" s="240">
        <f t="shared" si="57"/>
        <v>26.091616669369223</v>
      </c>
      <c r="AD99" s="240">
        <f t="shared" si="58"/>
        <v>26.091616669369223</v>
      </c>
      <c r="AE99" s="240">
        <f t="shared" si="59"/>
        <v>26.185989946489372</v>
      </c>
      <c r="AF99" s="240">
        <f t="shared" si="60"/>
        <v>27.185989946489375</v>
      </c>
      <c r="AG99" s="240">
        <f t="shared" si="61"/>
        <v>27.236662883087394</v>
      </c>
      <c r="AH99" s="242">
        <f t="shared" si="66"/>
        <v>25.962139080948621</v>
      </c>
      <c r="AI99" s="242">
        <f t="shared" si="62"/>
        <v>311.54566897138346</v>
      </c>
      <c r="AM99" s="240">
        <f t="shared" si="67"/>
        <v>0</v>
      </c>
      <c r="AN99" s="241">
        <v>1</v>
      </c>
      <c r="AO99" s="240">
        <f t="shared" si="67"/>
        <v>25.962139080948621</v>
      </c>
      <c r="AQ99" s="240">
        <f t="shared" si="63"/>
        <v>0</v>
      </c>
      <c r="AS99" s="240">
        <f t="shared" si="64"/>
        <v>0</v>
      </c>
    </row>
    <row r="100" spans="1:45" s="241" customFormat="1" ht="12" customHeight="1" x14ac:dyDescent="0.2">
      <c r="A100" s="253" t="str">
        <f t="shared" si="65"/>
        <v>allrecyclingCRY2-3Y2X</v>
      </c>
      <c r="B100" s="250" t="s">
        <v>1072</v>
      </c>
      <c r="C100" s="232" t="s">
        <v>1073</v>
      </c>
      <c r="D100" s="238">
        <v>593.05000000000007</v>
      </c>
      <c r="E100" s="238">
        <v>622.69999999999993</v>
      </c>
      <c r="F100" s="238">
        <v>622.69999999999993</v>
      </c>
      <c r="G100" s="238"/>
      <c r="H100" s="240">
        <v>593.04999999999995</v>
      </c>
      <c r="I100" s="240">
        <v>593.04999999999995</v>
      </c>
      <c r="J100" s="240">
        <v>593.04999999999995</v>
      </c>
      <c r="K100" s="240">
        <v>622.70000000000005</v>
      </c>
      <c r="L100" s="240">
        <v>622.70000000000005</v>
      </c>
      <c r="M100" s="240">
        <v>622.70000000000005</v>
      </c>
      <c r="N100" s="240">
        <v>622.70000000000005</v>
      </c>
      <c r="O100" s="240">
        <v>622.70000000000005</v>
      </c>
      <c r="P100" s="240">
        <v>622.70000000000005</v>
      </c>
      <c r="Q100" s="240">
        <v>622.70000000000005</v>
      </c>
      <c r="R100" s="240">
        <v>622.70000000000005</v>
      </c>
      <c r="S100" s="240">
        <v>622.70000000000005</v>
      </c>
      <c r="T100" s="240">
        <f t="shared" si="49"/>
        <v>7383.4499999999989</v>
      </c>
      <c r="V100" s="240">
        <f t="shared" si="50"/>
        <v>0.99999999999999978</v>
      </c>
      <c r="W100" s="240">
        <f t="shared" si="51"/>
        <v>0.99999999999999978</v>
      </c>
      <c r="X100" s="240">
        <f t="shared" si="52"/>
        <v>0.99999999999999978</v>
      </c>
      <c r="Y100" s="240">
        <f t="shared" si="53"/>
        <v>1.0000000000000002</v>
      </c>
      <c r="Z100" s="240">
        <f t="shared" si="54"/>
        <v>1.0000000000000002</v>
      </c>
      <c r="AA100" s="240">
        <f t="shared" si="55"/>
        <v>1.0000000000000002</v>
      </c>
      <c r="AB100" s="240">
        <f t="shared" si="56"/>
        <v>1.0000000000000002</v>
      </c>
      <c r="AC100" s="240">
        <f t="shared" si="57"/>
        <v>1.0000000000000002</v>
      </c>
      <c r="AD100" s="240">
        <f t="shared" si="58"/>
        <v>1.0000000000000002</v>
      </c>
      <c r="AE100" s="240">
        <f t="shared" si="59"/>
        <v>1.0000000000000002</v>
      </c>
      <c r="AF100" s="240">
        <f t="shared" si="60"/>
        <v>1.0000000000000002</v>
      </c>
      <c r="AG100" s="240">
        <f t="shared" si="61"/>
        <v>1.0000000000000002</v>
      </c>
      <c r="AH100" s="242">
        <f t="shared" si="66"/>
        <v>1</v>
      </c>
      <c r="AI100" s="242">
        <f t="shared" si="62"/>
        <v>12</v>
      </c>
      <c r="AM100" s="240">
        <f t="shared" si="67"/>
        <v>0</v>
      </c>
      <c r="AN100" s="241">
        <v>2</v>
      </c>
      <c r="AO100" s="240">
        <f t="shared" si="67"/>
        <v>2</v>
      </c>
      <c r="AQ100" s="240">
        <f t="shared" si="63"/>
        <v>0</v>
      </c>
      <c r="AS100" s="240">
        <f t="shared" si="64"/>
        <v>0</v>
      </c>
    </row>
    <row r="101" spans="1:45" s="241" customFormat="1" ht="12" customHeight="1" x14ac:dyDescent="0.2">
      <c r="A101" s="253" t="str">
        <f t="shared" si="65"/>
        <v>allrecyclingCRY2-4Y1X</v>
      </c>
      <c r="B101" s="250" t="s">
        <v>474</v>
      </c>
      <c r="C101" s="232" t="s">
        <v>557</v>
      </c>
      <c r="D101" s="238">
        <v>329.77000000000004</v>
      </c>
      <c r="E101" s="238">
        <v>346.26</v>
      </c>
      <c r="F101" s="238">
        <v>346.26</v>
      </c>
      <c r="G101" s="238"/>
      <c r="H101" s="240">
        <v>532.01</v>
      </c>
      <c r="I101" s="240">
        <v>532.01</v>
      </c>
      <c r="J101" s="240">
        <v>532.01</v>
      </c>
      <c r="K101" s="240">
        <v>558.62</v>
      </c>
      <c r="L101" s="240">
        <v>558.62</v>
      </c>
      <c r="M101" s="240">
        <v>991.44</v>
      </c>
      <c r="N101" s="240">
        <v>125.80000000000001</v>
      </c>
      <c r="O101" s="240">
        <v>212.36</v>
      </c>
      <c r="P101" s="240">
        <v>472.06</v>
      </c>
      <c r="Q101" s="240">
        <v>558.62</v>
      </c>
      <c r="R101" s="240">
        <v>558.62</v>
      </c>
      <c r="S101" s="240">
        <v>904.88000000000011</v>
      </c>
      <c r="T101" s="240">
        <f t="shared" si="49"/>
        <v>6537.05</v>
      </c>
      <c r="V101" s="240">
        <f t="shared" si="50"/>
        <v>1.6132759195803132</v>
      </c>
      <c r="W101" s="240">
        <f t="shared" si="51"/>
        <v>1.6132759195803132</v>
      </c>
      <c r="X101" s="240">
        <f t="shared" si="52"/>
        <v>1.6132759195803132</v>
      </c>
      <c r="Y101" s="240">
        <f t="shared" si="53"/>
        <v>1.6132963668919309</v>
      </c>
      <c r="Z101" s="240">
        <f t="shared" si="54"/>
        <v>1.6132963668919309</v>
      </c>
      <c r="AA101" s="240">
        <f t="shared" si="55"/>
        <v>2.8632819268757586</v>
      </c>
      <c r="AB101" s="240">
        <f t="shared" si="56"/>
        <v>0.3633108069081038</v>
      </c>
      <c r="AC101" s="240">
        <f t="shared" si="57"/>
        <v>0.61329636689193101</v>
      </c>
      <c r="AD101" s="240">
        <f t="shared" si="58"/>
        <v>1.3633108069081037</v>
      </c>
      <c r="AE101" s="240">
        <f t="shared" si="59"/>
        <v>1.6132963668919309</v>
      </c>
      <c r="AF101" s="240">
        <f t="shared" si="60"/>
        <v>1.6132963668919309</v>
      </c>
      <c r="AG101" s="240">
        <f t="shared" si="61"/>
        <v>2.6132963668919311</v>
      </c>
      <c r="AH101" s="242">
        <f t="shared" si="66"/>
        <v>1.5924591250653741</v>
      </c>
      <c r="AI101" s="242">
        <f t="shared" si="62"/>
        <v>19.10950950078449</v>
      </c>
      <c r="AM101" s="240">
        <f t="shared" si="67"/>
        <v>0</v>
      </c>
      <c r="AN101" s="241">
        <v>2</v>
      </c>
      <c r="AO101" s="240">
        <f t="shared" si="67"/>
        <v>3.1849182501307483</v>
      </c>
      <c r="AQ101" s="240">
        <f t="shared" si="63"/>
        <v>0</v>
      </c>
      <c r="AS101" s="240">
        <f t="shared" si="64"/>
        <v>0</v>
      </c>
    </row>
    <row r="102" spans="1:45" s="241" customFormat="1" ht="12" customHeight="1" x14ac:dyDescent="0.2">
      <c r="A102" s="253" t="str">
        <f t="shared" si="65"/>
        <v>allrecyclingCRY2-4Y2X</v>
      </c>
      <c r="B102" s="250" t="s">
        <v>475</v>
      </c>
      <c r="C102" s="232" t="s">
        <v>558</v>
      </c>
      <c r="D102" s="238">
        <v>581.97000000000014</v>
      </c>
      <c r="E102" s="238">
        <v>611.07000000000005</v>
      </c>
      <c r="F102" s="238">
        <v>611.07000000000005</v>
      </c>
      <c r="G102" s="238"/>
      <c r="H102" s="240">
        <v>1745.91</v>
      </c>
      <c r="I102" s="240">
        <v>1745.91</v>
      </c>
      <c r="J102" s="240">
        <v>1745.91</v>
      </c>
      <c r="K102" s="240">
        <v>1833.21</v>
      </c>
      <c r="L102" s="240">
        <v>1833.21</v>
      </c>
      <c r="M102" s="240">
        <v>1833.21</v>
      </c>
      <c r="N102" s="240">
        <v>1833.21</v>
      </c>
      <c r="O102" s="240">
        <v>1833.21</v>
      </c>
      <c r="P102" s="240">
        <v>1833.21</v>
      </c>
      <c r="Q102" s="240">
        <v>1833.21</v>
      </c>
      <c r="R102" s="240">
        <v>1833.21</v>
      </c>
      <c r="S102" s="240">
        <v>1833.21</v>
      </c>
      <c r="T102" s="240">
        <f t="shared" si="49"/>
        <v>21736.619999999995</v>
      </c>
      <c r="V102" s="240">
        <f t="shared" si="50"/>
        <v>2.9999999999999996</v>
      </c>
      <c r="W102" s="240">
        <f t="shared" si="51"/>
        <v>2.9999999999999996</v>
      </c>
      <c r="X102" s="240">
        <f t="shared" si="52"/>
        <v>2.9999999999999996</v>
      </c>
      <c r="Y102" s="240">
        <f t="shared" si="53"/>
        <v>3</v>
      </c>
      <c r="Z102" s="240">
        <f t="shared" si="54"/>
        <v>3</v>
      </c>
      <c r="AA102" s="240">
        <f t="shared" si="55"/>
        <v>3</v>
      </c>
      <c r="AB102" s="240">
        <f t="shared" si="56"/>
        <v>3</v>
      </c>
      <c r="AC102" s="240">
        <f t="shared" si="57"/>
        <v>3</v>
      </c>
      <c r="AD102" s="240">
        <f t="shared" si="58"/>
        <v>3</v>
      </c>
      <c r="AE102" s="240">
        <f t="shared" si="59"/>
        <v>3</v>
      </c>
      <c r="AF102" s="240">
        <f t="shared" si="60"/>
        <v>3</v>
      </c>
      <c r="AG102" s="240">
        <f t="shared" si="61"/>
        <v>3</v>
      </c>
      <c r="AH102" s="242">
        <f t="shared" si="66"/>
        <v>3</v>
      </c>
      <c r="AI102" s="242">
        <f t="shared" si="62"/>
        <v>36</v>
      </c>
      <c r="AM102" s="240">
        <f t="shared" si="67"/>
        <v>0</v>
      </c>
      <c r="AN102" s="241">
        <v>2</v>
      </c>
      <c r="AO102" s="240">
        <f t="shared" si="67"/>
        <v>6</v>
      </c>
      <c r="AQ102" s="240">
        <f t="shared" ref="AQ102:AQ130" si="68">+$AH102*AP102</f>
        <v>0</v>
      </c>
      <c r="AS102" s="240">
        <f t="shared" ref="AS102:AS130" si="69">+$AH102*AR102</f>
        <v>0</v>
      </c>
    </row>
    <row r="103" spans="1:45" s="241" customFormat="1" ht="12" customHeight="1" x14ac:dyDescent="0.2">
      <c r="A103" s="253" t="str">
        <f t="shared" si="65"/>
        <v>allrecyclingCRY5Y1X</v>
      </c>
      <c r="B103" s="250" t="s">
        <v>476</v>
      </c>
      <c r="C103" s="232" t="s">
        <v>559</v>
      </c>
      <c r="D103" s="238">
        <v>202.3</v>
      </c>
      <c r="E103" s="238">
        <v>212.42000000000004</v>
      </c>
      <c r="F103" s="238">
        <v>212.42000000000004</v>
      </c>
      <c r="G103" s="238"/>
      <c r="H103" s="240">
        <v>0</v>
      </c>
      <c r="I103" s="240">
        <v>202.3</v>
      </c>
      <c r="J103" s="240">
        <v>202.3</v>
      </c>
      <c r="K103" s="240">
        <v>212.42</v>
      </c>
      <c r="L103" s="240">
        <v>212.42</v>
      </c>
      <c r="M103" s="240">
        <v>212.42</v>
      </c>
      <c r="N103" s="240">
        <v>212.42</v>
      </c>
      <c r="O103" s="240">
        <v>212.42</v>
      </c>
      <c r="P103" s="240">
        <v>212.42</v>
      </c>
      <c r="Q103" s="240">
        <v>212.42</v>
      </c>
      <c r="R103" s="240">
        <v>212.42</v>
      </c>
      <c r="S103" s="240">
        <v>212.42</v>
      </c>
      <c r="T103" s="240">
        <f t="shared" si="49"/>
        <v>2316.38</v>
      </c>
      <c r="V103" s="240">
        <f t="shared" si="50"/>
        <v>0</v>
      </c>
      <c r="W103" s="240">
        <f t="shared" si="51"/>
        <v>1</v>
      </c>
      <c r="X103" s="240">
        <f t="shared" si="52"/>
        <v>1</v>
      </c>
      <c r="Y103" s="240">
        <f t="shared" si="53"/>
        <v>0.99999999999999978</v>
      </c>
      <c r="Z103" s="240">
        <f t="shared" si="54"/>
        <v>0.99999999999999978</v>
      </c>
      <c r="AA103" s="240">
        <f t="shared" si="55"/>
        <v>0.99999999999999978</v>
      </c>
      <c r="AB103" s="240">
        <f t="shared" si="56"/>
        <v>0.99999999999999978</v>
      </c>
      <c r="AC103" s="240">
        <f t="shared" si="57"/>
        <v>0.99999999999999978</v>
      </c>
      <c r="AD103" s="240">
        <f t="shared" si="58"/>
        <v>0.99999999999999978</v>
      </c>
      <c r="AE103" s="240">
        <f t="shared" si="59"/>
        <v>0.99999999999999978</v>
      </c>
      <c r="AF103" s="240">
        <f t="shared" si="60"/>
        <v>0.99999999999999978</v>
      </c>
      <c r="AG103" s="240">
        <f t="shared" si="61"/>
        <v>0.99999999999999978</v>
      </c>
      <c r="AH103" s="242">
        <f t="shared" si="66"/>
        <v>0.91666666666666663</v>
      </c>
      <c r="AI103" s="242">
        <f t="shared" si="62"/>
        <v>11</v>
      </c>
      <c r="AM103" s="240">
        <f t="shared" si="67"/>
        <v>0</v>
      </c>
      <c r="AN103" s="241">
        <v>1</v>
      </c>
      <c r="AO103" s="240">
        <f t="shared" si="67"/>
        <v>0.91666666666666663</v>
      </c>
      <c r="AQ103" s="240">
        <f t="shared" si="68"/>
        <v>0</v>
      </c>
      <c r="AS103" s="240">
        <f t="shared" si="69"/>
        <v>0</v>
      </c>
    </row>
    <row r="104" spans="1:45" s="241" customFormat="1" ht="12" customHeight="1" x14ac:dyDescent="0.2">
      <c r="A104" s="253" t="str">
        <f t="shared" si="65"/>
        <v>allrecyclingCRY5Y2X</v>
      </c>
      <c r="B104" s="250" t="s">
        <v>477</v>
      </c>
      <c r="C104" s="232" t="s">
        <v>560</v>
      </c>
      <c r="D104" s="238">
        <v>365.81000000000006</v>
      </c>
      <c r="E104" s="238">
        <v>384.09999999999997</v>
      </c>
      <c r="F104" s="238">
        <v>384.09999999999997</v>
      </c>
      <c r="G104" s="238"/>
      <c r="H104" s="240">
        <v>365.81</v>
      </c>
      <c r="I104" s="240">
        <v>365.81</v>
      </c>
      <c r="J104" s="240">
        <v>365.81</v>
      </c>
      <c r="K104" s="240">
        <v>384.1</v>
      </c>
      <c r="L104" s="240">
        <v>384.1</v>
      </c>
      <c r="M104" s="240">
        <v>384.1</v>
      </c>
      <c r="N104" s="240">
        <v>384.1</v>
      </c>
      <c r="O104" s="240">
        <v>384.1</v>
      </c>
      <c r="P104" s="240">
        <v>384.1</v>
      </c>
      <c r="Q104" s="240">
        <v>384.1</v>
      </c>
      <c r="R104" s="240">
        <v>384.1</v>
      </c>
      <c r="S104" s="240">
        <v>384.1</v>
      </c>
      <c r="T104" s="240">
        <f t="shared" si="49"/>
        <v>4554.33</v>
      </c>
      <c r="V104" s="240">
        <f t="shared" si="50"/>
        <v>0.99999999999999989</v>
      </c>
      <c r="W104" s="240">
        <f t="shared" si="51"/>
        <v>0.99999999999999989</v>
      </c>
      <c r="X104" s="240">
        <f t="shared" si="52"/>
        <v>0.99999999999999989</v>
      </c>
      <c r="Y104" s="240">
        <f t="shared" si="53"/>
        <v>1.0000000000000002</v>
      </c>
      <c r="Z104" s="240">
        <f t="shared" si="54"/>
        <v>1.0000000000000002</v>
      </c>
      <c r="AA104" s="240">
        <f t="shared" si="55"/>
        <v>1.0000000000000002</v>
      </c>
      <c r="AB104" s="240">
        <f t="shared" si="56"/>
        <v>1.0000000000000002</v>
      </c>
      <c r="AC104" s="240">
        <f t="shared" si="57"/>
        <v>1.0000000000000002</v>
      </c>
      <c r="AD104" s="240">
        <f t="shared" si="58"/>
        <v>1.0000000000000002</v>
      </c>
      <c r="AE104" s="240">
        <f t="shared" si="59"/>
        <v>1.0000000000000002</v>
      </c>
      <c r="AF104" s="240">
        <f t="shared" si="60"/>
        <v>1.0000000000000002</v>
      </c>
      <c r="AG104" s="240">
        <f t="shared" si="61"/>
        <v>1.0000000000000002</v>
      </c>
      <c r="AH104" s="242">
        <f t="shared" si="66"/>
        <v>1</v>
      </c>
      <c r="AI104" s="242">
        <f t="shared" si="62"/>
        <v>12</v>
      </c>
      <c r="AM104" s="240">
        <f t="shared" si="67"/>
        <v>0</v>
      </c>
      <c r="AN104" s="241">
        <v>1</v>
      </c>
      <c r="AO104" s="240">
        <f t="shared" si="67"/>
        <v>1</v>
      </c>
      <c r="AQ104" s="240">
        <f t="shared" si="68"/>
        <v>0</v>
      </c>
      <c r="AS104" s="240">
        <f t="shared" si="69"/>
        <v>0</v>
      </c>
    </row>
    <row r="105" spans="1:45" s="241" customFormat="1" ht="12" customHeight="1" x14ac:dyDescent="0.2">
      <c r="A105" s="253" t="str">
        <f t="shared" si="65"/>
        <v>allrecyclingCRY5Y3X</v>
      </c>
      <c r="B105" s="250" t="s">
        <v>478</v>
      </c>
      <c r="C105" s="232" t="s">
        <v>561</v>
      </c>
      <c r="D105" s="238">
        <v>523.77999999999986</v>
      </c>
      <c r="E105" s="238">
        <v>549.97000000000014</v>
      </c>
      <c r="F105" s="238">
        <v>549.97000000000014</v>
      </c>
      <c r="G105" s="238"/>
      <c r="H105" s="240">
        <v>0</v>
      </c>
      <c r="I105" s="240">
        <v>0</v>
      </c>
      <c r="J105" s="240">
        <v>0</v>
      </c>
      <c r="K105" s="240">
        <v>0</v>
      </c>
      <c r="L105" s="240">
        <v>0</v>
      </c>
      <c r="M105" s="240">
        <v>0</v>
      </c>
      <c r="N105" s="240">
        <v>0</v>
      </c>
      <c r="O105" s="240">
        <v>0</v>
      </c>
      <c r="P105" s="240">
        <v>0</v>
      </c>
      <c r="Q105" s="240">
        <v>0</v>
      </c>
      <c r="R105" s="240">
        <v>0</v>
      </c>
      <c r="S105" s="240">
        <v>0</v>
      </c>
      <c r="T105" s="240">
        <f t="shared" si="49"/>
        <v>0</v>
      </c>
      <c r="V105" s="240">
        <f t="shared" si="50"/>
        <v>0</v>
      </c>
      <c r="W105" s="240">
        <f t="shared" si="51"/>
        <v>0</v>
      </c>
      <c r="X105" s="240">
        <f t="shared" si="52"/>
        <v>0</v>
      </c>
      <c r="Y105" s="240">
        <f t="shared" si="53"/>
        <v>0</v>
      </c>
      <c r="Z105" s="240">
        <f t="shared" si="54"/>
        <v>0</v>
      </c>
      <c r="AA105" s="240">
        <f t="shared" si="55"/>
        <v>0</v>
      </c>
      <c r="AB105" s="240">
        <f t="shared" si="56"/>
        <v>0</v>
      </c>
      <c r="AC105" s="240">
        <f t="shared" si="57"/>
        <v>0</v>
      </c>
      <c r="AD105" s="240">
        <f t="shared" si="58"/>
        <v>0</v>
      </c>
      <c r="AE105" s="240">
        <f t="shared" si="59"/>
        <v>0</v>
      </c>
      <c r="AF105" s="240">
        <f t="shared" si="60"/>
        <v>0</v>
      </c>
      <c r="AG105" s="240">
        <f t="shared" si="61"/>
        <v>0</v>
      </c>
      <c r="AH105" s="242">
        <f t="shared" si="66"/>
        <v>0</v>
      </c>
      <c r="AI105" s="242">
        <f t="shared" si="62"/>
        <v>0</v>
      </c>
      <c r="AM105" s="240">
        <f t="shared" si="67"/>
        <v>0</v>
      </c>
      <c r="AN105" s="241">
        <v>1</v>
      </c>
      <c r="AO105" s="240">
        <f t="shared" si="67"/>
        <v>0</v>
      </c>
      <c r="AQ105" s="240">
        <f t="shared" si="68"/>
        <v>0</v>
      </c>
      <c r="AS105" s="240">
        <f t="shared" si="69"/>
        <v>0</v>
      </c>
    </row>
    <row r="106" spans="1:45" s="241" customFormat="1" ht="12" customHeight="1" x14ac:dyDescent="0.2">
      <c r="A106" s="253" t="str">
        <f>"all"&amp;"recycling"&amp;B106</f>
        <v>allrecyclingCRY5Y5X</v>
      </c>
      <c r="B106" s="250" t="s">
        <v>1077</v>
      </c>
      <c r="C106" s="232" t="s">
        <v>1078</v>
      </c>
      <c r="D106" s="238">
        <v>845.1900000000004</v>
      </c>
      <c r="E106" s="238">
        <v>887.44999999999993</v>
      </c>
      <c r="F106" s="238">
        <v>887.44999999999993</v>
      </c>
      <c r="G106" s="238"/>
      <c r="H106" s="240">
        <v>0</v>
      </c>
      <c r="I106" s="240">
        <v>0</v>
      </c>
      <c r="J106" s="240">
        <v>0</v>
      </c>
      <c r="K106" s="240">
        <v>0</v>
      </c>
      <c r="L106" s="240">
        <v>0</v>
      </c>
      <c r="M106" s="240">
        <v>0</v>
      </c>
      <c r="N106" s="240">
        <v>0</v>
      </c>
      <c r="O106" s="240">
        <v>0</v>
      </c>
      <c r="P106" s="240">
        <v>0</v>
      </c>
      <c r="Q106" s="240">
        <v>0</v>
      </c>
      <c r="R106" s="240">
        <v>0</v>
      </c>
      <c r="S106" s="240">
        <v>0</v>
      </c>
      <c r="T106" s="240">
        <f t="shared" si="49"/>
        <v>0</v>
      </c>
      <c r="V106" s="240">
        <f t="shared" si="50"/>
        <v>0</v>
      </c>
      <c r="W106" s="240">
        <f t="shared" si="51"/>
        <v>0</v>
      </c>
      <c r="X106" s="240">
        <f t="shared" si="52"/>
        <v>0</v>
      </c>
      <c r="Y106" s="240">
        <f t="shared" si="53"/>
        <v>0</v>
      </c>
      <c r="Z106" s="240">
        <f t="shared" si="54"/>
        <v>0</v>
      </c>
      <c r="AA106" s="240">
        <f t="shared" si="55"/>
        <v>0</v>
      </c>
      <c r="AB106" s="240">
        <f t="shared" si="56"/>
        <v>0</v>
      </c>
      <c r="AC106" s="240">
        <f t="shared" si="57"/>
        <v>0</v>
      </c>
      <c r="AD106" s="240">
        <f t="shared" si="58"/>
        <v>0</v>
      </c>
      <c r="AE106" s="240">
        <f t="shared" si="59"/>
        <v>0</v>
      </c>
      <c r="AF106" s="240">
        <f t="shared" si="60"/>
        <v>0</v>
      </c>
      <c r="AG106" s="240">
        <f t="shared" si="61"/>
        <v>0</v>
      </c>
      <c r="AH106" s="242">
        <f>+IFERROR(AVERAGE(V106:AG106),0)</f>
        <v>0</v>
      </c>
      <c r="AI106" s="242">
        <f t="shared" si="62"/>
        <v>0</v>
      </c>
      <c r="AM106" s="240">
        <f t="shared" si="67"/>
        <v>0</v>
      </c>
      <c r="AN106" s="241">
        <v>1</v>
      </c>
      <c r="AO106" s="240">
        <f t="shared" si="67"/>
        <v>0</v>
      </c>
      <c r="AQ106" s="240">
        <f t="shared" si="68"/>
        <v>0</v>
      </c>
      <c r="AS106" s="240">
        <f t="shared" si="69"/>
        <v>0</v>
      </c>
    </row>
    <row r="107" spans="1:45" s="241" customFormat="1" ht="12" customHeight="1" x14ac:dyDescent="0.2">
      <c r="A107" s="253" t="str">
        <f t="shared" si="65"/>
        <v>allrecyclingCRY5YOC</v>
      </c>
      <c r="B107" s="250" t="s">
        <v>651</v>
      </c>
      <c r="C107" s="232" t="s">
        <v>655</v>
      </c>
      <c r="D107" s="238">
        <v>54.419999999999995</v>
      </c>
      <c r="E107" s="238">
        <v>57.14</v>
      </c>
      <c r="F107" s="238">
        <v>57.14</v>
      </c>
      <c r="G107" s="238"/>
      <c r="H107" s="240">
        <v>0</v>
      </c>
      <c r="I107" s="240">
        <v>0</v>
      </c>
      <c r="J107" s="240">
        <v>0</v>
      </c>
      <c r="K107" s="240">
        <v>0</v>
      </c>
      <c r="L107" s="240">
        <v>0</v>
      </c>
      <c r="M107" s="240">
        <v>0</v>
      </c>
      <c r="N107" s="240">
        <v>0</v>
      </c>
      <c r="O107" s="240">
        <v>0</v>
      </c>
      <c r="P107" s="240">
        <v>0</v>
      </c>
      <c r="Q107" s="240">
        <v>0</v>
      </c>
      <c r="R107" s="240">
        <v>0</v>
      </c>
      <c r="S107" s="240">
        <v>0</v>
      </c>
      <c r="T107" s="240">
        <f t="shared" si="49"/>
        <v>0</v>
      </c>
      <c r="V107" s="240">
        <f t="shared" si="50"/>
        <v>0</v>
      </c>
      <c r="W107" s="240">
        <f t="shared" si="51"/>
        <v>0</v>
      </c>
      <c r="X107" s="240">
        <f t="shared" si="52"/>
        <v>0</v>
      </c>
      <c r="Y107" s="240">
        <f t="shared" si="53"/>
        <v>0</v>
      </c>
      <c r="Z107" s="240">
        <f t="shared" si="54"/>
        <v>0</v>
      </c>
      <c r="AA107" s="240">
        <f t="shared" si="55"/>
        <v>0</v>
      </c>
      <c r="AB107" s="240">
        <f t="shared" si="56"/>
        <v>0</v>
      </c>
      <c r="AC107" s="240">
        <f t="shared" si="57"/>
        <v>0</v>
      </c>
      <c r="AD107" s="240">
        <f t="shared" si="58"/>
        <v>0</v>
      </c>
      <c r="AE107" s="240">
        <f t="shared" si="59"/>
        <v>0</v>
      </c>
      <c r="AF107" s="240">
        <f t="shared" si="60"/>
        <v>0</v>
      </c>
      <c r="AG107" s="240">
        <f t="shared" si="61"/>
        <v>0</v>
      </c>
      <c r="AH107" s="242">
        <f t="shared" si="66"/>
        <v>0</v>
      </c>
      <c r="AI107" s="242">
        <f t="shared" si="62"/>
        <v>0</v>
      </c>
      <c r="AM107" s="240">
        <f t="shared" si="67"/>
        <v>0</v>
      </c>
      <c r="AN107" s="241">
        <v>0</v>
      </c>
      <c r="AO107" s="240">
        <f t="shared" si="67"/>
        <v>0</v>
      </c>
      <c r="AQ107" s="240">
        <f t="shared" si="68"/>
        <v>0</v>
      </c>
      <c r="AS107" s="240">
        <f t="shared" si="69"/>
        <v>0</v>
      </c>
    </row>
    <row r="108" spans="1:45" s="241" customFormat="1" ht="12" customHeight="1" x14ac:dyDescent="0.2">
      <c r="A108" s="253" t="str">
        <f t="shared" si="65"/>
        <v>allrecyclingCRY6Y1X</v>
      </c>
      <c r="B108" s="250" t="s">
        <v>479</v>
      </c>
      <c r="C108" s="232" t="s">
        <v>562</v>
      </c>
      <c r="D108" s="238">
        <v>216.17000000000004</v>
      </c>
      <c r="E108" s="238">
        <v>226.98</v>
      </c>
      <c r="F108" s="238">
        <v>226.98</v>
      </c>
      <c r="G108" s="238"/>
      <c r="H108" s="240">
        <v>5971.74</v>
      </c>
      <c r="I108" s="240">
        <v>5647.48</v>
      </c>
      <c r="J108" s="240">
        <v>4436.17</v>
      </c>
      <c r="K108" s="240">
        <v>5120.3</v>
      </c>
      <c r="L108" s="240">
        <v>5120.3</v>
      </c>
      <c r="M108" s="240">
        <v>4950.07</v>
      </c>
      <c r="N108" s="240">
        <v>5380.42</v>
      </c>
      <c r="O108" s="240">
        <v>5210.1900000000005</v>
      </c>
      <c r="P108" s="240">
        <v>5153.4400000000005</v>
      </c>
      <c r="Q108" s="240">
        <v>5157.67</v>
      </c>
      <c r="R108" s="240">
        <v>5157.67</v>
      </c>
      <c r="S108" s="240">
        <v>4943.1000000000004</v>
      </c>
      <c r="T108" s="240">
        <f t="shared" si="49"/>
        <v>62248.549999999996</v>
      </c>
      <c r="V108" s="240">
        <f t="shared" si="50"/>
        <v>27.625202387010216</v>
      </c>
      <c r="W108" s="240">
        <f t="shared" si="51"/>
        <v>26.12517925706619</v>
      </c>
      <c r="X108" s="240">
        <f t="shared" si="52"/>
        <v>20.521672757551922</v>
      </c>
      <c r="Y108" s="240">
        <f t="shared" si="53"/>
        <v>22.558375187241168</v>
      </c>
      <c r="Z108" s="240">
        <f t="shared" si="54"/>
        <v>22.558375187241168</v>
      </c>
      <c r="AA108" s="240">
        <f t="shared" si="55"/>
        <v>21.808397215613709</v>
      </c>
      <c r="AB108" s="240">
        <f t="shared" si="56"/>
        <v>23.704379240461716</v>
      </c>
      <c r="AC108" s="240">
        <f t="shared" si="57"/>
        <v>22.95440126883426</v>
      </c>
      <c r="AD108" s="240">
        <f t="shared" si="58"/>
        <v>22.704379240461719</v>
      </c>
      <c r="AE108" s="240">
        <f t="shared" si="59"/>
        <v>22.723015243633803</v>
      </c>
      <c r="AF108" s="240">
        <f t="shared" si="60"/>
        <v>22.723015243633803</v>
      </c>
      <c r="AG108" s="240">
        <f t="shared" si="61"/>
        <v>21.777689664287607</v>
      </c>
      <c r="AH108" s="242">
        <f t="shared" si="66"/>
        <v>23.148673491086441</v>
      </c>
      <c r="AI108" s="242">
        <f t="shared" si="62"/>
        <v>277.7840818930373</v>
      </c>
      <c r="AM108" s="240">
        <f t="shared" si="67"/>
        <v>0</v>
      </c>
      <c r="AN108" s="241">
        <v>1</v>
      </c>
      <c r="AO108" s="240">
        <f t="shared" si="67"/>
        <v>23.148673491086441</v>
      </c>
      <c r="AQ108" s="240">
        <f t="shared" si="68"/>
        <v>0</v>
      </c>
      <c r="AS108" s="240">
        <f t="shared" si="69"/>
        <v>0</v>
      </c>
    </row>
    <row r="109" spans="1:45" s="241" customFormat="1" ht="12" customHeight="1" x14ac:dyDescent="0.2">
      <c r="A109" s="253" t="str">
        <f t="shared" si="65"/>
        <v>allrecyclingCRY6Y2X</v>
      </c>
      <c r="B109" s="250" t="s">
        <v>480</v>
      </c>
      <c r="C109" s="232" t="s">
        <v>563</v>
      </c>
      <c r="D109" s="238">
        <v>390.75</v>
      </c>
      <c r="E109" s="238">
        <v>410.29</v>
      </c>
      <c r="F109" s="238">
        <v>410.29</v>
      </c>
      <c r="G109" s="238"/>
      <c r="H109" s="240">
        <v>3185.88</v>
      </c>
      <c r="I109" s="240">
        <v>3381.25</v>
      </c>
      <c r="J109" s="240">
        <v>3603.9</v>
      </c>
      <c r="K109" s="240">
        <v>3766.71</v>
      </c>
      <c r="L109" s="240">
        <v>3766.71</v>
      </c>
      <c r="M109" s="240">
        <v>3766.71</v>
      </c>
      <c r="N109" s="240">
        <v>3766.71</v>
      </c>
      <c r="O109" s="240">
        <v>3766.71</v>
      </c>
      <c r="P109" s="240">
        <v>3766.71</v>
      </c>
      <c r="Q109" s="240">
        <v>3766.71</v>
      </c>
      <c r="R109" s="240">
        <v>3766.71</v>
      </c>
      <c r="S109" s="240">
        <v>3766.71</v>
      </c>
      <c r="T109" s="240">
        <f t="shared" si="49"/>
        <v>44071.42</v>
      </c>
      <c r="V109" s="240">
        <f t="shared" si="50"/>
        <v>8.153243761996162</v>
      </c>
      <c r="W109" s="240">
        <f t="shared" si="51"/>
        <v>8.6532309660908506</v>
      </c>
      <c r="X109" s="240">
        <f t="shared" si="52"/>
        <v>9.2230326295585421</v>
      </c>
      <c r="Y109" s="240">
        <f t="shared" si="53"/>
        <v>9.1806039630505243</v>
      </c>
      <c r="Z109" s="240">
        <f t="shared" si="54"/>
        <v>9.1806039630505243</v>
      </c>
      <c r="AA109" s="240">
        <f t="shared" si="55"/>
        <v>9.1806039630505243</v>
      </c>
      <c r="AB109" s="240">
        <f t="shared" si="56"/>
        <v>9.1806039630505243</v>
      </c>
      <c r="AC109" s="240">
        <f t="shared" si="57"/>
        <v>9.1806039630505243</v>
      </c>
      <c r="AD109" s="240">
        <f t="shared" si="58"/>
        <v>9.1806039630505243</v>
      </c>
      <c r="AE109" s="240">
        <f t="shared" si="59"/>
        <v>9.1806039630505243</v>
      </c>
      <c r="AF109" s="240">
        <f t="shared" si="60"/>
        <v>9.1806039630505243</v>
      </c>
      <c r="AG109" s="240">
        <f t="shared" si="61"/>
        <v>9.1806039630505243</v>
      </c>
      <c r="AH109" s="242">
        <f t="shared" si="66"/>
        <v>9.0545785854250251</v>
      </c>
      <c r="AI109" s="242">
        <f t="shared" si="62"/>
        <v>108.65494302510029</v>
      </c>
      <c r="AM109" s="240">
        <f t="shared" si="67"/>
        <v>0</v>
      </c>
      <c r="AN109" s="241">
        <v>1</v>
      </c>
      <c r="AO109" s="240">
        <f t="shared" si="67"/>
        <v>9.0545785854250251</v>
      </c>
      <c r="AQ109" s="240">
        <f t="shared" si="68"/>
        <v>0</v>
      </c>
      <c r="AS109" s="240">
        <f t="shared" si="69"/>
        <v>0</v>
      </c>
    </row>
    <row r="110" spans="1:45" s="241" customFormat="1" ht="12" customHeight="1" x14ac:dyDescent="0.2">
      <c r="A110" s="253" t="str">
        <f t="shared" si="65"/>
        <v>allrecyclingCRY6Y3X</v>
      </c>
      <c r="B110" s="250" t="s">
        <v>481</v>
      </c>
      <c r="C110" s="232" t="s">
        <v>564</v>
      </c>
      <c r="D110" s="238">
        <v>562.55999999999972</v>
      </c>
      <c r="E110" s="238">
        <v>590.68999999999994</v>
      </c>
      <c r="F110" s="238">
        <v>590.68999999999994</v>
      </c>
      <c r="G110" s="238"/>
      <c r="H110" s="240">
        <v>1552.9</v>
      </c>
      <c r="I110" s="240">
        <v>1552.9</v>
      </c>
      <c r="J110" s="240">
        <v>1593.6</v>
      </c>
      <c r="K110" s="240">
        <v>1647.3</v>
      </c>
      <c r="L110" s="240">
        <v>1647.3</v>
      </c>
      <c r="M110" s="240">
        <v>1647.3</v>
      </c>
      <c r="N110" s="240">
        <v>1647.3</v>
      </c>
      <c r="O110" s="240">
        <v>1647.3</v>
      </c>
      <c r="P110" s="240">
        <v>1647.3</v>
      </c>
      <c r="Q110" s="240">
        <v>1647.3</v>
      </c>
      <c r="R110" s="240">
        <v>1647.3</v>
      </c>
      <c r="S110" s="240">
        <v>1647.3</v>
      </c>
      <c r="T110" s="240">
        <f t="shared" si="49"/>
        <v>19525.099999999995</v>
      </c>
      <c r="V110" s="240">
        <f t="shared" si="50"/>
        <v>2.7604166666666683</v>
      </c>
      <c r="W110" s="240">
        <f t="shared" si="51"/>
        <v>2.7604166666666683</v>
      </c>
      <c r="X110" s="240">
        <f t="shared" si="52"/>
        <v>2.8327645051194552</v>
      </c>
      <c r="Y110" s="240">
        <f t="shared" si="53"/>
        <v>2.7887724525554862</v>
      </c>
      <c r="Z110" s="240">
        <f t="shared" si="54"/>
        <v>2.7887724525554862</v>
      </c>
      <c r="AA110" s="240">
        <f t="shared" si="55"/>
        <v>2.7887724525554862</v>
      </c>
      <c r="AB110" s="240">
        <f t="shared" si="56"/>
        <v>2.7887724525554862</v>
      </c>
      <c r="AC110" s="240">
        <f t="shared" si="57"/>
        <v>2.7887724525554862</v>
      </c>
      <c r="AD110" s="240">
        <f t="shared" si="58"/>
        <v>2.7887724525554862</v>
      </c>
      <c r="AE110" s="240">
        <f t="shared" si="59"/>
        <v>2.7887724525554862</v>
      </c>
      <c r="AF110" s="240">
        <f t="shared" si="60"/>
        <v>2.7887724525554862</v>
      </c>
      <c r="AG110" s="240">
        <f t="shared" si="61"/>
        <v>2.7887724525554862</v>
      </c>
      <c r="AH110" s="242">
        <f t="shared" si="66"/>
        <v>2.7877124926210133</v>
      </c>
      <c r="AI110" s="242">
        <f t="shared" si="62"/>
        <v>33.452549911452159</v>
      </c>
      <c r="AM110" s="240">
        <f t="shared" si="67"/>
        <v>0</v>
      </c>
      <c r="AN110" s="241">
        <v>1</v>
      </c>
      <c r="AO110" s="240">
        <f t="shared" si="67"/>
        <v>2.7877124926210133</v>
      </c>
      <c r="AQ110" s="240">
        <f t="shared" si="68"/>
        <v>0</v>
      </c>
      <c r="AS110" s="240">
        <f t="shared" si="69"/>
        <v>0</v>
      </c>
    </row>
    <row r="111" spans="1:45" s="241" customFormat="1" ht="12" customHeight="1" x14ac:dyDescent="0.2">
      <c r="A111" s="253" t="str">
        <f>"all"&amp;"recycling"&amp;B111</f>
        <v>allrecyclingCRY6Y5X</v>
      </c>
      <c r="B111" s="250" t="s">
        <v>884</v>
      </c>
      <c r="C111" s="232" t="s">
        <v>896</v>
      </c>
      <c r="D111" s="238">
        <v>903.53000000000009</v>
      </c>
      <c r="E111" s="238">
        <v>948.70999999999992</v>
      </c>
      <c r="F111" s="238">
        <v>948.70999999999992</v>
      </c>
      <c r="G111" s="238"/>
      <c r="H111" s="240">
        <v>769.12</v>
      </c>
      <c r="I111" s="240">
        <v>769.12</v>
      </c>
      <c r="J111" s="240">
        <v>834.5</v>
      </c>
      <c r="K111" s="240">
        <v>834.5</v>
      </c>
      <c r="L111" s="240">
        <v>834.5</v>
      </c>
      <c r="M111" s="240">
        <v>834.5</v>
      </c>
      <c r="N111" s="240">
        <v>834.5</v>
      </c>
      <c r="O111" s="240">
        <v>834.5</v>
      </c>
      <c r="P111" s="240">
        <v>834.5</v>
      </c>
      <c r="Q111" s="240">
        <v>834.5</v>
      </c>
      <c r="R111" s="240">
        <v>834.5</v>
      </c>
      <c r="S111" s="240">
        <v>834.5</v>
      </c>
      <c r="T111" s="240">
        <f t="shared" si="49"/>
        <v>9883.24</v>
      </c>
      <c r="V111" s="240">
        <f t="shared" si="50"/>
        <v>0.85123902914125704</v>
      </c>
      <c r="W111" s="240">
        <f t="shared" si="51"/>
        <v>0.85123902914125704</v>
      </c>
      <c r="X111" s="240">
        <f t="shared" si="52"/>
        <v>0.92359965911480513</v>
      </c>
      <c r="Y111" s="240">
        <f t="shared" si="53"/>
        <v>0.87961547785940919</v>
      </c>
      <c r="Z111" s="240">
        <f t="shared" si="54"/>
        <v>0.87961547785940919</v>
      </c>
      <c r="AA111" s="240">
        <f t="shared" si="55"/>
        <v>0.87961547785940919</v>
      </c>
      <c r="AB111" s="240">
        <f t="shared" si="56"/>
        <v>0.87961547785940919</v>
      </c>
      <c r="AC111" s="240">
        <f t="shared" si="57"/>
        <v>0.87961547785940919</v>
      </c>
      <c r="AD111" s="240">
        <f t="shared" si="58"/>
        <v>0.87961547785940919</v>
      </c>
      <c r="AE111" s="240">
        <f t="shared" si="59"/>
        <v>0.87961547785940919</v>
      </c>
      <c r="AF111" s="240">
        <f t="shared" si="60"/>
        <v>0.87961547785940919</v>
      </c>
      <c r="AG111" s="240">
        <f t="shared" si="61"/>
        <v>0.87961547785940919</v>
      </c>
      <c r="AH111" s="242">
        <f>+IFERROR(AVERAGE(V111:AG111),0)</f>
        <v>0.87855141817766691</v>
      </c>
      <c r="AI111" s="242">
        <f t="shared" si="62"/>
        <v>10.542617018132002</v>
      </c>
      <c r="AM111" s="240">
        <f t="shared" si="67"/>
        <v>0</v>
      </c>
      <c r="AN111" s="241">
        <v>1</v>
      </c>
      <c r="AO111" s="240">
        <f t="shared" si="67"/>
        <v>0.87855141817766691</v>
      </c>
      <c r="AQ111" s="240">
        <f t="shared" si="68"/>
        <v>0</v>
      </c>
      <c r="AS111" s="240">
        <f t="shared" si="69"/>
        <v>0</v>
      </c>
    </row>
    <row r="112" spans="1:45" s="241" customFormat="1" ht="12" customHeight="1" x14ac:dyDescent="0.2">
      <c r="A112" s="253" t="str">
        <f t="shared" si="65"/>
        <v>allrecyclingCRY6YEOW</v>
      </c>
      <c r="B112" s="250" t="s">
        <v>482</v>
      </c>
      <c r="C112" s="232" t="s">
        <v>565</v>
      </c>
      <c r="D112" s="238">
        <v>134.61999999999995</v>
      </c>
      <c r="E112" s="238">
        <v>141.35</v>
      </c>
      <c r="F112" s="238">
        <v>141.35</v>
      </c>
      <c r="G112" s="238"/>
      <c r="H112" s="240">
        <v>519.1</v>
      </c>
      <c r="I112" s="240">
        <v>519.1</v>
      </c>
      <c r="J112" s="240">
        <v>519.1</v>
      </c>
      <c r="K112" s="240">
        <v>538.41</v>
      </c>
      <c r="L112" s="240">
        <v>538.41</v>
      </c>
      <c r="M112" s="240">
        <v>538.41</v>
      </c>
      <c r="N112" s="240">
        <v>538.41</v>
      </c>
      <c r="O112" s="240">
        <v>538.41</v>
      </c>
      <c r="P112" s="240">
        <v>538.41</v>
      </c>
      <c r="Q112" s="240">
        <v>545.04999999999995</v>
      </c>
      <c r="R112" s="240">
        <v>545.04999999999995</v>
      </c>
      <c r="S112" s="240">
        <v>686.4</v>
      </c>
      <c r="T112" s="240">
        <f t="shared" si="49"/>
        <v>6564.2599999999993</v>
      </c>
      <c r="V112" s="240">
        <f t="shared" si="50"/>
        <v>3.8560392215124071</v>
      </c>
      <c r="W112" s="240">
        <f t="shared" si="51"/>
        <v>3.8560392215124071</v>
      </c>
      <c r="X112" s="240">
        <f t="shared" si="52"/>
        <v>3.8560392215124071</v>
      </c>
      <c r="Y112" s="240">
        <f t="shared" si="53"/>
        <v>3.8090555359037848</v>
      </c>
      <c r="Z112" s="240">
        <f t="shared" si="54"/>
        <v>3.8090555359037848</v>
      </c>
      <c r="AA112" s="240">
        <f t="shared" si="55"/>
        <v>3.8090555359037848</v>
      </c>
      <c r="AB112" s="240">
        <f t="shared" si="56"/>
        <v>3.8090555359037848</v>
      </c>
      <c r="AC112" s="240">
        <f t="shared" si="57"/>
        <v>3.8090555359037848</v>
      </c>
      <c r="AD112" s="240">
        <f t="shared" si="58"/>
        <v>3.8090555359037848</v>
      </c>
      <c r="AE112" s="240">
        <f t="shared" si="59"/>
        <v>3.8560311284046689</v>
      </c>
      <c r="AF112" s="240">
        <f t="shared" si="60"/>
        <v>3.8560311284046689</v>
      </c>
      <c r="AG112" s="240">
        <f t="shared" si="61"/>
        <v>4.8560311284046689</v>
      </c>
      <c r="AH112" s="242">
        <f t="shared" ref="AH112:AH126" si="70">+IFERROR(AVERAGE(V112:AG112),0)</f>
        <v>3.9158786887644941</v>
      </c>
      <c r="AI112" s="242">
        <f t="shared" si="62"/>
        <v>46.990544265173931</v>
      </c>
      <c r="AM112" s="240">
        <f t="shared" si="67"/>
        <v>0</v>
      </c>
      <c r="AN112" s="241">
        <v>1</v>
      </c>
      <c r="AO112" s="240">
        <f t="shared" si="67"/>
        <v>3.9158786887644941</v>
      </c>
      <c r="AQ112" s="240">
        <f t="shared" si="68"/>
        <v>0</v>
      </c>
      <c r="AS112" s="240">
        <f t="shared" si="69"/>
        <v>0</v>
      </c>
    </row>
    <row r="113" spans="1:45" s="241" customFormat="1" ht="12" customHeight="1" x14ac:dyDescent="0.2">
      <c r="A113" s="253" t="str">
        <f t="shared" si="65"/>
        <v>allrecyclingCRY8Y1X</v>
      </c>
      <c r="B113" s="250" t="s">
        <v>483</v>
      </c>
      <c r="C113" s="232" t="s">
        <v>566</v>
      </c>
      <c r="D113" s="238">
        <v>230.01000000000008</v>
      </c>
      <c r="E113" s="238">
        <v>241.51000000000002</v>
      </c>
      <c r="F113" s="238">
        <v>241.51000000000002</v>
      </c>
      <c r="G113" s="238"/>
      <c r="H113" s="240">
        <v>3838.3500000000004</v>
      </c>
      <c r="I113" s="240">
        <v>3723.34</v>
      </c>
      <c r="J113" s="240">
        <v>3780.84</v>
      </c>
      <c r="K113" s="240">
        <v>4249.82</v>
      </c>
      <c r="L113" s="240">
        <v>4249.82</v>
      </c>
      <c r="M113" s="240">
        <v>4249.83</v>
      </c>
      <c r="N113" s="240">
        <v>4342.6100000000006</v>
      </c>
      <c r="O113" s="240">
        <v>4466.24</v>
      </c>
      <c r="P113" s="240">
        <v>4293.7299999999996</v>
      </c>
      <c r="Q113" s="240">
        <v>3810.7099999999996</v>
      </c>
      <c r="R113" s="240">
        <v>3832.66</v>
      </c>
      <c r="S113" s="240">
        <v>3832.66</v>
      </c>
      <c r="T113" s="240">
        <f t="shared" si="49"/>
        <v>48670.61</v>
      </c>
      <c r="V113" s="240">
        <f t="shared" si="50"/>
        <v>16.687752706404066</v>
      </c>
      <c r="W113" s="240">
        <f t="shared" si="51"/>
        <v>16.187730968218769</v>
      </c>
      <c r="X113" s="240">
        <f t="shared" si="52"/>
        <v>16.437720099126121</v>
      </c>
      <c r="Y113" s="240">
        <f t="shared" si="53"/>
        <v>17.596869694836649</v>
      </c>
      <c r="Z113" s="240">
        <f t="shared" si="54"/>
        <v>17.596869694836649</v>
      </c>
      <c r="AA113" s="240">
        <f t="shared" si="55"/>
        <v>17.596911100989605</v>
      </c>
      <c r="AB113" s="240">
        <f t="shared" si="56"/>
        <v>17.981077388099873</v>
      </c>
      <c r="AC113" s="240">
        <f t="shared" si="57"/>
        <v>18.492981657074239</v>
      </c>
      <c r="AD113" s="240">
        <f t="shared" si="58"/>
        <v>17.778684112459107</v>
      </c>
      <c r="AE113" s="240">
        <f t="shared" si="59"/>
        <v>15.778684112459109</v>
      </c>
      <c r="AF113" s="240">
        <f t="shared" si="60"/>
        <v>15.869570618193862</v>
      </c>
      <c r="AG113" s="240">
        <f t="shared" si="61"/>
        <v>15.869570618193862</v>
      </c>
      <c r="AH113" s="242">
        <f t="shared" si="70"/>
        <v>16.989535230907659</v>
      </c>
      <c r="AI113" s="242">
        <f t="shared" si="62"/>
        <v>203.8744227708919</v>
      </c>
      <c r="AM113" s="240">
        <f t="shared" si="67"/>
        <v>0</v>
      </c>
      <c r="AN113" s="241">
        <v>1</v>
      </c>
      <c r="AO113" s="240">
        <f t="shared" si="67"/>
        <v>16.989535230907659</v>
      </c>
      <c r="AQ113" s="240">
        <f t="shared" si="68"/>
        <v>0</v>
      </c>
      <c r="AS113" s="240">
        <f t="shared" si="69"/>
        <v>0</v>
      </c>
    </row>
    <row r="114" spans="1:45" s="241" customFormat="1" ht="12" customHeight="1" x14ac:dyDescent="0.2">
      <c r="A114" s="253" t="str">
        <f t="shared" si="65"/>
        <v>allrecyclingCRY8Y2X</v>
      </c>
      <c r="B114" s="250" t="s">
        <v>484</v>
      </c>
      <c r="C114" s="232" t="s">
        <v>567</v>
      </c>
      <c r="D114" s="238">
        <v>410.10999999999996</v>
      </c>
      <c r="E114" s="238">
        <v>430.61999999999995</v>
      </c>
      <c r="F114" s="238">
        <v>430.61999999999995</v>
      </c>
      <c r="G114" s="238"/>
      <c r="H114" s="240">
        <v>3263.21</v>
      </c>
      <c r="I114" s="240">
        <v>3263.21</v>
      </c>
      <c r="J114" s="240">
        <v>3263.21</v>
      </c>
      <c r="K114" s="240">
        <v>3352.88</v>
      </c>
      <c r="L114" s="240">
        <v>3352.88</v>
      </c>
      <c r="M114" s="240">
        <v>3352.88</v>
      </c>
      <c r="N114" s="240">
        <v>3367.16</v>
      </c>
      <c r="O114" s="240">
        <v>3797.7799999999997</v>
      </c>
      <c r="P114" s="240">
        <v>3167.5699999999997</v>
      </c>
      <c r="Q114" s="240">
        <v>3606.1099999999997</v>
      </c>
      <c r="R114" s="240">
        <v>3663.8999999999996</v>
      </c>
      <c r="S114" s="240">
        <v>3663.8999999999996</v>
      </c>
      <c r="T114" s="240">
        <f t="shared" si="49"/>
        <v>41114.69</v>
      </c>
      <c r="V114" s="240">
        <f t="shared" si="50"/>
        <v>7.9569139986832811</v>
      </c>
      <c r="W114" s="240">
        <f t="shared" si="51"/>
        <v>7.9569139986832811</v>
      </c>
      <c r="X114" s="240">
        <f t="shared" si="52"/>
        <v>7.9569139986832811</v>
      </c>
      <c r="Y114" s="240">
        <f t="shared" si="53"/>
        <v>7.7861687798987518</v>
      </c>
      <c r="Z114" s="240">
        <f t="shared" si="54"/>
        <v>7.7861687798987518</v>
      </c>
      <c r="AA114" s="240">
        <f t="shared" si="55"/>
        <v>7.7861687798987518</v>
      </c>
      <c r="AB114" s="240">
        <f t="shared" si="56"/>
        <v>7.8193302679856957</v>
      </c>
      <c r="AC114" s="240">
        <f t="shared" si="57"/>
        <v>8.8193302679856949</v>
      </c>
      <c r="AD114" s="240">
        <f t="shared" si="58"/>
        <v>7.3558357716780458</v>
      </c>
      <c r="AE114" s="240">
        <f t="shared" si="59"/>
        <v>8.3742278575077798</v>
      </c>
      <c r="AF114" s="240">
        <f t="shared" si="60"/>
        <v>8.5084297060052947</v>
      </c>
      <c r="AG114" s="240">
        <f t="shared" si="61"/>
        <v>8.5084297060052947</v>
      </c>
      <c r="AH114" s="242">
        <f t="shared" si="70"/>
        <v>8.051235992742825</v>
      </c>
      <c r="AI114" s="242">
        <f t="shared" si="62"/>
        <v>96.6148319129139</v>
      </c>
      <c r="AM114" s="240">
        <f t="shared" si="67"/>
        <v>0</v>
      </c>
      <c r="AN114" s="241">
        <v>1</v>
      </c>
      <c r="AO114" s="240">
        <f t="shared" si="67"/>
        <v>8.051235992742825</v>
      </c>
      <c r="AQ114" s="240">
        <f t="shared" si="68"/>
        <v>0</v>
      </c>
      <c r="AS114" s="240">
        <f t="shared" si="69"/>
        <v>0</v>
      </c>
    </row>
    <row r="115" spans="1:45" s="241" customFormat="1" ht="12" customHeight="1" x14ac:dyDescent="0.2">
      <c r="A115" s="253" t="str">
        <f t="shared" si="65"/>
        <v>allrecyclingCRY8Y3X</v>
      </c>
      <c r="B115" s="250" t="s">
        <v>485</v>
      </c>
      <c r="C115" s="232" t="s">
        <v>568</v>
      </c>
      <c r="D115" s="238">
        <v>770.41</v>
      </c>
      <c r="E115" s="238">
        <v>808.93000000000006</v>
      </c>
      <c r="F115" s="238">
        <v>808.93000000000006</v>
      </c>
      <c r="G115" s="238"/>
      <c r="H115" s="240">
        <v>5382.3600000000006</v>
      </c>
      <c r="I115" s="240">
        <v>5382.3600000000006</v>
      </c>
      <c r="J115" s="240">
        <v>5382.3600000000006</v>
      </c>
      <c r="K115" s="240">
        <v>5613.48</v>
      </c>
      <c r="L115" s="240">
        <v>5613.48</v>
      </c>
      <c r="M115" s="240">
        <v>5613.48</v>
      </c>
      <c r="N115" s="240">
        <v>5613.48</v>
      </c>
      <c r="O115" s="240">
        <v>5613.48</v>
      </c>
      <c r="P115" s="240">
        <v>5209.0200000000004</v>
      </c>
      <c r="Q115" s="240">
        <v>4842.55</v>
      </c>
      <c r="R115" s="240">
        <v>4842.55</v>
      </c>
      <c r="S115" s="240">
        <v>4842.55</v>
      </c>
      <c r="T115" s="240">
        <f t="shared" si="49"/>
        <v>63951.150000000009</v>
      </c>
      <c r="V115" s="240">
        <f t="shared" si="50"/>
        <v>6.9863579133188836</v>
      </c>
      <c r="W115" s="240">
        <f t="shared" si="51"/>
        <v>6.9863579133188836</v>
      </c>
      <c r="X115" s="240">
        <f t="shared" si="52"/>
        <v>6.9863579133188836</v>
      </c>
      <c r="Y115" s="240">
        <f t="shared" si="53"/>
        <v>6.9393890695115763</v>
      </c>
      <c r="Z115" s="240">
        <f t="shared" si="54"/>
        <v>6.9393890695115763</v>
      </c>
      <c r="AA115" s="240">
        <f t="shared" si="55"/>
        <v>6.9393890695115763</v>
      </c>
      <c r="AB115" s="240">
        <f t="shared" si="56"/>
        <v>6.9393890695115763</v>
      </c>
      <c r="AC115" s="240">
        <f t="shared" si="57"/>
        <v>6.9393890695115763</v>
      </c>
      <c r="AD115" s="240">
        <f t="shared" si="58"/>
        <v>6.4393952505161138</v>
      </c>
      <c r="AE115" s="240">
        <f t="shared" si="59"/>
        <v>5.9863647039916925</v>
      </c>
      <c r="AF115" s="240">
        <f t="shared" si="60"/>
        <v>5.9863647039916925</v>
      </c>
      <c r="AG115" s="240">
        <f t="shared" si="61"/>
        <v>5.9863647039916925</v>
      </c>
      <c r="AH115" s="242">
        <f t="shared" si="70"/>
        <v>6.6712090375004784</v>
      </c>
      <c r="AI115" s="242">
        <f t="shared" si="62"/>
        <v>80.054508450005741</v>
      </c>
      <c r="AM115" s="240">
        <f t="shared" si="67"/>
        <v>0</v>
      </c>
      <c r="AN115" s="241">
        <v>1</v>
      </c>
      <c r="AO115" s="240">
        <f t="shared" si="67"/>
        <v>6.6712090375004784</v>
      </c>
      <c r="AQ115" s="240">
        <f t="shared" si="68"/>
        <v>0</v>
      </c>
      <c r="AS115" s="240">
        <f t="shared" si="69"/>
        <v>0</v>
      </c>
    </row>
    <row r="116" spans="1:45" s="241" customFormat="1" ht="12" customHeight="1" x14ac:dyDescent="0.2">
      <c r="A116" s="253" t="str">
        <f t="shared" si="65"/>
        <v>allrecyclingCRY8Y4X</v>
      </c>
      <c r="B116" s="250" t="s">
        <v>486</v>
      </c>
      <c r="C116" s="232" t="s">
        <v>569</v>
      </c>
      <c r="D116" s="238">
        <v>950.56999999999982</v>
      </c>
      <c r="E116" s="238">
        <v>998.10000000000014</v>
      </c>
      <c r="F116" s="238">
        <v>998.10000000000014</v>
      </c>
      <c r="G116" s="238"/>
      <c r="H116" s="240">
        <v>0</v>
      </c>
      <c r="I116" s="240">
        <v>0</v>
      </c>
      <c r="J116" s="240">
        <v>0</v>
      </c>
      <c r="K116" s="240">
        <v>0</v>
      </c>
      <c r="L116" s="240">
        <v>0</v>
      </c>
      <c r="M116" s="240">
        <v>0</v>
      </c>
      <c r="N116" s="240">
        <v>0</v>
      </c>
      <c r="O116" s="240">
        <v>0</v>
      </c>
      <c r="P116" s="240">
        <v>0</v>
      </c>
      <c r="Q116" s="240">
        <v>0</v>
      </c>
      <c r="R116" s="240">
        <v>0</v>
      </c>
      <c r="S116" s="240">
        <v>0</v>
      </c>
      <c r="T116" s="240">
        <f t="shared" si="49"/>
        <v>0</v>
      </c>
      <c r="V116" s="240">
        <f t="shared" si="50"/>
        <v>0</v>
      </c>
      <c r="W116" s="240">
        <f t="shared" si="51"/>
        <v>0</v>
      </c>
      <c r="X116" s="240">
        <f t="shared" si="52"/>
        <v>0</v>
      </c>
      <c r="Y116" s="240">
        <f t="shared" si="53"/>
        <v>0</v>
      </c>
      <c r="Z116" s="240">
        <f t="shared" si="54"/>
        <v>0</v>
      </c>
      <c r="AA116" s="240">
        <f t="shared" si="55"/>
        <v>0</v>
      </c>
      <c r="AB116" s="240">
        <f t="shared" si="56"/>
        <v>0</v>
      </c>
      <c r="AC116" s="240">
        <f t="shared" si="57"/>
        <v>0</v>
      </c>
      <c r="AD116" s="240">
        <f t="shared" si="58"/>
        <v>0</v>
      </c>
      <c r="AE116" s="240">
        <f t="shared" si="59"/>
        <v>0</v>
      </c>
      <c r="AF116" s="240">
        <f t="shared" si="60"/>
        <v>0</v>
      </c>
      <c r="AG116" s="240">
        <f t="shared" si="61"/>
        <v>0</v>
      </c>
      <c r="AH116" s="242">
        <f t="shared" si="70"/>
        <v>0</v>
      </c>
      <c r="AI116" s="242">
        <f t="shared" si="62"/>
        <v>0</v>
      </c>
      <c r="AM116" s="240">
        <f t="shared" si="67"/>
        <v>0</v>
      </c>
      <c r="AN116" s="241">
        <v>1</v>
      </c>
      <c r="AO116" s="240">
        <f t="shared" si="67"/>
        <v>0</v>
      </c>
      <c r="AQ116" s="240">
        <f t="shared" si="68"/>
        <v>0</v>
      </c>
      <c r="AS116" s="240">
        <f t="shared" si="69"/>
        <v>0</v>
      </c>
    </row>
    <row r="117" spans="1:45" s="241" customFormat="1" ht="12" customHeight="1" x14ac:dyDescent="0.2">
      <c r="A117" s="253" t="str">
        <f t="shared" si="65"/>
        <v>allrecyclingCRY8YEOW</v>
      </c>
      <c r="B117" s="250" t="s">
        <v>886</v>
      </c>
      <c r="C117" s="232" t="s">
        <v>898</v>
      </c>
      <c r="D117" s="238">
        <v>140.99</v>
      </c>
      <c r="E117" s="238">
        <v>148.04</v>
      </c>
      <c r="F117" s="238">
        <v>148.04</v>
      </c>
      <c r="G117" s="238"/>
      <c r="H117" s="240">
        <v>0</v>
      </c>
      <c r="I117" s="240">
        <v>0</v>
      </c>
      <c r="J117" s="240">
        <v>0</v>
      </c>
      <c r="K117" s="240">
        <v>0</v>
      </c>
      <c r="L117" s="240">
        <v>0</v>
      </c>
      <c r="M117" s="240">
        <v>0</v>
      </c>
      <c r="N117" s="240">
        <v>0</v>
      </c>
      <c r="O117" s="240">
        <v>0</v>
      </c>
      <c r="P117" s="240">
        <v>0</v>
      </c>
      <c r="Q117" s="240">
        <v>0</v>
      </c>
      <c r="R117" s="240">
        <v>0</v>
      </c>
      <c r="S117" s="240">
        <v>0</v>
      </c>
      <c r="T117" s="240">
        <f t="shared" si="49"/>
        <v>0</v>
      </c>
      <c r="V117" s="240">
        <f t="shared" si="50"/>
        <v>0</v>
      </c>
      <c r="W117" s="240">
        <f t="shared" si="51"/>
        <v>0</v>
      </c>
      <c r="X117" s="240">
        <f t="shared" si="52"/>
        <v>0</v>
      </c>
      <c r="Y117" s="240">
        <f t="shared" si="53"/>
        <v>0</v>
      </c>
      <c r="Z117" s="240">
        <f t="shared" si="54"/>
        <v>0</v>
      </c>
      <c r="AA117" s="240">
        <f t="shared" si="55"/>
        <v>0</v>
      </c>
      <c r="AB117" s="240">
        <f t="shared" si="56"/>
        <v>0</v>
      </c>
      <c r="AC117" s="240">
        <f t="shared" si="57"/>
        <v>0</v>
      </c>
      <c r="AD117" s="240">
        <f t="shared" si="58"/>
        <v>0</v>
      </c>
      <c r="AE117" s="240">
        <f t="shared" si="59"/>
        <v>0</v>
      </c>
      <c r="AF117" s="240">
        <f t="shared" si="60"/>
        <v>0</v>
      </c>
      <c r="AG117" s="240">
        <f t="shared" si="61"/>
        <v>0</v>
      </c>
      <c r="AH117" s="242">
        <f t="shared" si="70"/>
        <v>0</v>
      </c>
      <c r="AI117" s="242">
        <f t="shared" si="62"/>
        <v>0</v>
      </c>
      <c r="AM117" s="240">
        <f t="shared" si="67"/>
        <v>0</v>
      </c>
      <c r="AN117" s="241">
        <v>1</v>
      </c>
      <c r="AO117" s="240">
        <f t="shared" si="67"/>
        <v>0</v>
      </c>
      <c r="AQ117" s="240">
        <f t="shared" si="68"/>
        <v>0</v>
      </c>
      <c r="AS117" s="240">
        <f t="shared" si="69"/>
        <v>0</v>
      </c>
    </row>
    <row r="118" spans="1:45" s="241" customFormat="1" ht="12" customHeight="1" x14ac:dyDescent="0.2">
      <c r="A118" s="253" t="str">
        <f t="shared" ref="A118:A126" si="71">"all"&amp;"recycling"&amp;B118</f>
        <v>allrecyclingCRY901X</v>
      </c>
      <c r="B118" s="250" t="s">
        <v>490</v>
      </c>
      <c r="C118" s="232" t="s">
        <v>573</v>
      </c>
      <c r="D118" s="238">
        <v>93.210000000000022</v>
      </c>
      <c r="E118" s="238">
        <v>97.86999999999999</v>
      </c>
      <c r="F118" s="238">
        <v>97.86999999999999</v>
      </c>
      <c r="G118" s="238"/>
      <c r="H118" s="240">
        <v>4977.6100000000006</v>
      </c>
      <c r="I118" s="240">
        <v>5000.91</v>
      </c>
      <c r="J118" s="240">
        <v>4962.22</v>
      </c>
      <c r="K118" s="240">
        <v>4921.03</v>
      </c>
      <c r="L118" s="240">
        <v>4753.26</v>
      </c>
      <c r="M118" s="240">
        <v>4753.2700000000004</v>
      </c>
      <c r="N118" s="240">
        <v>4557.5199999999995</v>
      </c>
      <c r="O118" s="240">
        <v>4557.5200000000004</v>
      </c>
      <c r="P118" s="240">
        <v>4777.7300000000005</v>
      </c>
      <c r="Q118" s="240">
        <v>4756.59</v>
      </c>
      <c r="R118" s="240">
        <v>4560.8500000000004</v>
      </c>
      <c r="S118" s="240">
        <v>4560.8500000000004</v>
      </c>
      <c r="T118" s="240">
        <f t="shared" si="49"/>
        <v>57139.360000000001</v>
      </c>
      <c r="V118" s="240">
        <f t="shared" si="50"/>
        <v>53.402102778671811</v>
      </c>
      <c r="W118" s="240">
        <f t="shared" si="51"/>
        <v>53.652075957515272</v>
      </c>
      <c r="X118" s="240">
        <f t="shared" si="52"/>
        <v>53.236991739083777</v>
      </c>
      <c r="Y118" s="240">
        <f t="shared" si="53"/>
        <v>50.281291509144786</v>
      </c>
      <c r="Z118" s="240">
        <f t="shared" si="54"/>
        <v>48.567078777970785</v>
      </c>
      <c r="AA118" s="240">
        <f t="shared" si="55"/>
        <v>48.567180954327178</v>
      </c>
      <c r="AB118" s="240">
        <f t="shared" si="56"/>
        <v>46.567078777970778</v>
      </c>
      <c r="AC118" s="240">
        <f t="shared" si="57"/>
        <v>46.567078777970785</v>
      </c>
      <c r="AD118" s="240">
        <f t="shared" si="58"/>
        <v>48.817104322059883</v>
      </c>
      <c r="AE118" s="240">
        <f t="shared" si="59"/>
        <v>48.601103504649032</v>
      </c>
      <c r="AF118" s="240">
        <f t="shared" si="60"/>
        <v>46.601103504649032</v>
      </c>
      <c r="AG118" s="240">
        <f t="shared" si="61"/>
        <v>46.601103504649032</v>
      </c>
      <c r="AH118" s="242">
        <f t="shared" si="70"/>
        <v>49.28844117572185</v>
      </c>
      <c r="AI118" s="242">
        <f t="shared" si="62"/>
        <v>591.46129410866217</v>
      </c>
      <c r="AL118" s="241">
        <v>1</v>
      </c>
      <c r="AM118" s="240">
        <f t="shared" si="67"/>
        <v>49.28844117572185</v>
      </c>
      <c r="AN118" s="241">
        <v>0</v>
      </c>
      <c r="AO118" s="240">
        <f t="shared" si="67"/>
        <v>0</v>
      </c>
      <c r="AQ118" s="240">
        <f t="shared" si="68"/>
        <v>0</v>
      </c>
      <c r="AS118" s="240">
        <f t="shared" si="69"/>
        <v>0</v>
      </c>
    </row>
    <row r="119" spans="1:45" s="241" customFormat="1" ht="12" customHeight="1" x14ac:dyDescent="0.2">
      <c r="A119" s="253" t="str">
        <f t="shared" si="71"/>
        <v>allrecyclingCRY902X</v>
      </c>
      <c r="B119" s="250" t="s">
        <v>491</v>
      </c>
      <c r="C119" s="232" t="s">
        <v>574</v>
      </c>
      <c r="D119" s="238">
        <v>175.95</v>
      </c>
      <c r="E119" s="238">
        <v>184.75</v>
      </c>
      <c r="F119" s="238">
        <v>184.75</v>
      </c>
      <c r="G119" s="238"/>
      <c r="H119" s="240">
        <v>0</v>
      </c>
      <c r="I119" s="240">
        <v>0</v>
      </c>
      <c r="J119" s="240">
        <v>175.95</v>
      </c>
      <c r="K119" s="240">
        <v>184.75</v>
      </c>
      <c r="L119" s="240">
        <v>184.75</v>
      </c>
      <c r="M119" s="240">
        <v>184.75</v>
      </c>
      <c r="N119" s="240">
        <v>184.75</v>
      </c>
      <c r="O119" s="240">
        <v>184.75</v>
      </c>
      <c r="P119" s="240">
        <v>0</v>
      </c>
      <c r="Q119" s="240">
        <v>0</v>
      </c>
      <c r="R119" s="240">
        <v>0</v>
      </c>
      <c r="S119" s="240">
        <v>0</v>
      </c>
      <c r="T119" s="240">
        <f t="shared" si="49"/>
        <v>1099.7</v>
      </c>
      <c r="V119" s="240">
        <f t="shared" si="50"/>
        <v>0</v>
      </c>
      <c r="W119" s="240">
        <f t="shared" si="51"/>
        <v>0</v>
      </c>
      <c r="X119" s="240">
        <f t="shared" si="52"/>
        <v>1</v>
      </c>
      <c r="Y119" s="240">
        <f t="shared" si="53"/>
        <v>1</v>
      </c>
      <c r="Z119" s="240">
        <f t="shared" si="54"/>
        <v>1</v>
      </c>
      <c r="AA119" s="240">
        <f t="shared" si="55"/>
        <v>1</v>
      </c>
      <c r="AB119" s="240">
        <f t="shared" si="56"/>
        <v>1</v>
      </c>
      <c r="AC119" s="240">
        <f t="shared" si="57"/>
        <v>1</v>
      </c>
      <c r="AD119" s="240">
        <f t="shared" si="58"/>
        <v>0</v>
      </c>
      <c r="AE119" s="240">
        <f t="shared" si="59"/>
        <v>0</v>
      </c>
      <c r="AF119" s="240">
        <f t="shared" si="60"/>
        <v>0</v>
      </c>
      <c r="AG119" s="240">
        <f t="shared" si="61"/>
        <v>0</v>
      </c>
      <c r="AH119" s="242">
        <f t="shared" si="70"/>
        <v>0.5</v>
      </c>
      <c r="AI119" s="242">
        <f t="shared" si="62"/>
        <v>6</v>
      </c>
      <c r="AL119" s="241">
        <v>1</v>
      </c>
      <c r="AM119" s="240">
        <f t="shared" si="67"/>
        <v>0.5</v>
      </c>
      <c r="AN119" s="241">
        <v>0</v>
      </c>
      <c r="AO119" s="240">
        <f t="shared" si="67"/>
        <v>0</v>
      </c>
      <c r="AQ119" s="240">
        <f t="shared" si="68"/>
        <v>0</v>
      </c>
      <c r="AS119" s="240">
        <f t="shared" si="69"/>
        <v>0</v>
      </c>
    </row>
    <row r="120" spans="1:45" s="241" customFormat="1" ht="12" customHeight="1" x14ac:dyDescent="0.2">
      <c r="A120" s="253" t="str">
        <f t="shared" si="71"/>
        <v>allrecyclingCRY90EOW</v>
      </c>
      <c r="B120" s="250" t="s">
        <v>492</v>
      </c>
      <c r="C120" s="232" t="s">
        <v>575</v>
      </c>
      <c r="D120" s="238">
        <v>47.74</v>
      </c>
      <c r="E120" s="238">
        <v>50.13</v>
      </c>
      <c r="F120" s="238">
        <v>50.13</v>
      </c>
      <c r="G120" s="238"/>
      <c r="H120" s="240">
        <v>4821.74</v>
      </c>
      <c r="I120" s="240">
        <v>4917.2199999999993</v>
      </c>
      <c r="J120" s="240">
        <v>4929.1499999999996</v>
      </c>
      <c r="K120" s="240">
        <v>5211.13</v>
      </c>
      <c r="L120" s="240">
        <v>5224.18</v>
      </c>
      <c r="M120" s="240">
        <v>5038.0700000000006</v>
      </c>
      <c r="N120" s="240">
        <v>5063.13</v>
      </c>
      <c r="O120" s="240">
        <v>4912.74</v>
      </c>
      <c r="P120" s="240">
        <v>4825.0200000000004</v>
      </c>
      <c r="Q120" s="240">
        <v>4837.5400000000009</v>
      </c>
      <c r="R120" s="240">
        <v>4937.8100000000004</v>
      </c>
      <c r="S120" s="240">
        <v>4912.7400000000007</v>
      </c>
      <c r="T120" s="240">
        <f t="shared" si="49"/>
        <v>59630.469999999987</v>
      </c>
      <c r="V120" s="240">
        <f t="shared" si="50"/>
        <v>100.99999999999999</v>
      </c>
      <c r="W120" s="240">
        <f t="shared" si="51"/>
        <v>102.99999999999999</v>
      </c>
      <c r="X120" s="240">
        <f t="shared" si="52"/>
        <v>103.24989526602428</v>
      </c>
      <c r="Y120" s="240">
        <f t="shared" si="53"/>
        <v>103.95232395770995</v>
      </c>
      <c r="Z120" s="240">
        <f t="shared" si="54"/>
        <v>104.21264711749451</v>
      </c>
      <c r="AA120" s="240">
        <f t="shared" si="55"/>
        <v>100.50009974067426</v>
      </c>
      <c r="AB120" s="240">
        <f t="shared" si="56"/>
        <v>101</v>
      </c>
      <c r="AC120" s="240">
        <f t="shared" si="57"/>
        <v>97.999999999999986</v>
      </c>
      <c r="AD120" s="240">
        <f t="shared" si="58"/>
        <v>96.250149611011381</v>
      </c>
      <c r="AE120" s="240">
        <f t="shared" si="59"/>
        <v>96.49990025932577</v>
      </c>
      <c r="AF120" s="240">
        <f t="shared" si="60"/>
        <v>98.500099740674244</v>
      </c>
      <c r="AG120" s="240">
        <f t="shared" si="61"/>
        <v>98.000000000000014</v>
      </c>
      <c r="AH120" s="242">
        <f t="shared" si="70"/>
        <v>100.34709297440952</v>
      </c>
      <c r="AI120" s="242">
        <f t="shared" si="62"/>
        <v>1204.1651156929142</v>
      </c>
      <c r="AL120" s="241">
        <v>1</v>
      </c>
      <c r="AM120" s="240">
        <f t="shared" si="67"/>
        <v>100.34709297440952</v>
      </c>
      <c r="AN120" s="241">
        <v>0</v>
      </c>
      <c r="AO120" s="240">
        <f t="shared" si="67"/>
        <v>0</v>
      </c>
      <c r="AQ120" s="240">
        <f t="shared" si="68"/>
        <v>0</v>
      </c>
      <c r="AS120" s="240">
        <f t="shared" si="69"/>
        <v>0</v>
      </c>
    </row>
    <row r="121" spans="1:45" s="241" customFormat="1" ht="12" customHeight="1" x14ac:dyDescent="0.2">
      <c r="A121" s="253" t="str">
        <f t="shared" si="71"/>
        <v>allrecyclingCRY901X3</v>
      </c>
      <c r="B121" s="250" t="s">
        <v>493</v>
      </c>
      <c r="C121" s="232" t="s">
        <v>576</v>
      </c>
      <c r="D121" s="238">
        <v>127.57999999999998</v>
      </c>
      <c r="E121" s="238">
        <v>133.96</v>
      </c>
      <c r="F121" s="238">
        <v>133.96</v>
      </c>
      <c r="G121" s="238"/>
      <c r="H121" s="240">
        <v>478.43</v>
      </c>
      <c r="I121" s="240">
        <v>510.32</v>
      </c>
      <c r="J121" s="240">
        <v>510.32</v>
      </c>
      <c r="K121" s="240">
        <v>535.84</v>
      </c>
      <c r="L121" s="240">
        <v>12.759999999999991</v>
      </c>
      <c r="M121" s="240">
        <v>401.88</v>
      </c>
      <c r="N121" s="240">
        <v>401.88</v>
      </c>
      <c r="O121" s="240">
        <v>401.88</v>
      </c>
      <c r="P121" s="240">
        <v>401.88</v>
      </c>
      <c r="Q121" s="240">
        <v>401.88</v>
      </c>
      <c r="R121" s="240">
        <v>401.88</v>
      </c>
      <c r="S121" s="240">
        <v>401.88</v>
      </c>
      <c r="T121" s="240">
        <f t="shared" si="49"/>
        <v>4860.83</v>
      </c>
      <c r="V121" s="240">
        <f t="shared" si="50"/>
        <v>3.7500391910957838</v>
      </c>
      <c r="W121" s="240">
        <f t="shared" si="51"/>
        <v>4.0000000000000009</v>
      </c>
      <c r="X121" s="240">
        <f t="shared" si="52"/>
        <v>4.0000000000000009</v>
      </c>
      <c r="Y121" s="240">
        <f t="shared" si="53"/>
        <v>4</v>
      </c>
      <c r="Z121" s="240">
        <f t="shared" si="54"/>
        <v>9.5252314123618911E-2</v>
      </c>
      <c r="AA121" s="240">
        <f t="shared" si="55"/>
        <v>3</v>
      </c>
      <c r="AB121" s="240">
        <f t="shared" si="56"/>
        <v>3</v>
      </c>
      <c r="AC121" s="240">
        <f t="shared" si="57"/>
        <v>3</v>
      </c>
      <c r="AD121" s="240">
        <f t="shared" si="58"/>
        <v>3</v>
      </c>
      <c r="AE121" s="240">
        <f t="shared" si="59"/>
        <v>3</v>
      </c>
      <c r="AF121" s="240">
        <f t="shared" si="60"/>
        <v>3</v>
      </c>
      <c r="AG121" s="240">
        <f t="shared" si="61"/>
        <v>3</v>
      </c>
      <c r="AH121" s="242">
        <f t="shared" si="70"/>
        <v>3.0704409587682839</v>
      </c>
      <c r="AI121" s="242">
        <f t="shared" si="62"/>
        <v>36.845291505219407</v>
      </c>
      <c r="AL121" s="241">
        <v>3</v>
      </c>
      <c r="AM121" s="240">
        <f t="shared" si="67"/>
        <v>9.2113228763048518</v>
      </c>
      <c r="AO121" s="240">
        <f t="shared" si="67"/>
        <v>0</v>
      </c>
      <c r="AQ121" s="240">
        <f t="shared" si="68"/>
        <v>0</v>
      </c>
      <c r="AS121" s="240">
        <f t="shared" si="69"/>
        <v>0</v>
      </c>
    </row>
    <row r="122" spans="1:45" s="241" customFormat="1" ht="12" customHeight="1" x14ac:dyDescent="0.2">
      <c r="A122" s="253" t="str">
        <f t="shared" si="71"/>
        <v>allrecyclingCRY901X2</v>
      </c>
      <c r="B122" s="250" t="s">
        <v>494</v>
      </c>
      <c r="C122" s="232" t="s">
        <v>577</v>
      </c>
      <c r="D122" s="238">
        <v>104.56999999999995</v>
      </c>
      <c r="E122" s="238">
        <v>109.79999999999998</v>
      </c>
      <c r="F122" s="238">
        <v>109.79999999999998</v>
      </c>
      <c r="G122" s="238"/>
      <c r="H122" s="240">
        <v>1180.42</v>
      </c>
      <c r="I122" s="240">
        <v>1180.42</v>
      </c>
      <c r="J122" s="240">
        <v>1101.99</v>
      </c>
      <c r="K122" s="240">
        <v>1125.1299999999999</v>
      </c>
      <c r="L122" s="240">
        <v>1178.93</v>
      </c>
      <c r="M122" s="240">
        <v>1316.18</v>
      </c>
      <c r="N122" s="240">
        <v>1316.18</v>
      </c>
      <c r="O122" s="240">
        <v>1316.18</v>
      </c>
      <c r="P122" s="240">
        <v>1206.3800000000001</v>
      </c>
      <c r="Q122" s="240">
        <v>1115.96</v>
      </c>
      <c r="R122" s="240">
        <v>1006.16</v>
      </c>
      <c r="S122" s="240">
        <v>1006.16</v>
      </c>
      <c r="T122" s="240">
        <f t="shared" si="49"/>
        <v>14050.09</v>
      </c>
      <c r="V122" s="240">
        <f t="shared" si="50"/>
        <v>11.288323610978297</v>
      </c>
      <c r="W122" s="240">
        <f t="shared" si="51"/>
        <v>11.288323610978297</v>
      </c>
      <c r="X122" s="240">
        <f t="shared" si="52"/>
        <v>10.538299703547867</v>
      </c>
      <c r="Y122" s="240">
        <f t="shared" si="53"/>
        <v>10.247085610200365</v>
      </c>
      <c r="Z122" s="240">
        <f t="shared" si="54"/>
        <v>10.737067395264118</v>
      </c>
      <c r="AA122" s="240">
        <f t="shared" si="55"/>
        <v>11.98706739526412</v>
      </c>
      <c r="AB122" s="240">
        <f t="shared" si="56"/>
        <v>11.98706739526412</v>
      </c>
      <c r="AC122" s="240">
        <f t="shared" si="57"/>
        <v>11.98706739526412</v>
      </c>
      <c r="AD122" s="240">
        <f t="shared" si="58"/>
        <v>10.98706739526412</v>
      </c>
      <c r="AE122" s="240">
        <f t="shared" si="59"/>
        <v>10.163570127504556</v>
      </c>
      <c r="AF122" s="240">
        <f t="shared" si="60"/>
        <v>9.1635701275045545</v>
      </c>
      <c r="AG122" s="240">
        <f t="shared" si="61"/>
        <v>9.1635701275045545</v>
      </c>
      <c r="AH122" s="242">
        <f t="shared" si="70"/>
        <v>10.794839991211591</v>
      </c>
      <c r="AI122" s="242">
        <f t="shared" si="62"/>
        <v>129.53807989453909</v>
      </c>
      <c r="AL122" s="241">
        <v>2</v>
      </c>
      <c r="AM122" s="240">
        <f t="shared" si="67"/>
        <v>21.589679982423181</v>
      </c>
      <c r="AO122" s="240">
        <f t="shared" si="67"/>
        <v>0</v>
      </c>
      <c r="AQ122" s="240">
        <f t="shared" si="68"/>
        <v>0</v>
      </c>
      <c r="AS122" s="240">
        <f t="shared" si="69"/>
        <v>0</v>
      </c>
    </row>
    <row r="123" spans="1:45" s="241" customFormat="1" ht="12" customHeight="1" x14ac:dyDescent="0.2">
      <c r="A123" s="253" t="str">
        <f>"all"&amp;"recycling"&amp;B123</f>
        <v>allrecyclingCRY902X2</v>
      </c>
      <c r="B123" s="250" t="s">
        <v>1068</v>
      </c>
      <c r="C123" s="232" t="s">
        <v>1069</v>
      </c>
      <c r="D123" s="238">
        <v>208.96</v>
      </c>
      <c r="E123" s="238">
        <v>219.41000000000003</v>
      </c>
      <c r="F123" s="238">
        <v>219.41000000000003</v>
      </c>
      <c r="G123" s="238"/>
      <c r="H123" s="240">
        <v>379.29</v>
      </c>
      <c r="I123" s="240">
        <v>379.29</v>
      </c>
      <c r="J123" s="240">
        <v>379.29</v>
      </c>
      <c r="K123" s="240">
        <v>389.74</v>
      </c>
      <c r="L123" s="240">
        <v>389.74</v>
      </c>
      <c r="M123" s="240">
        <v>389.74</v>
      </c>
      <c r="N123" s="240">
        <v>389.74</v>
      </c>
      <c r="O123" s="240">
        <v>389.74</v>
      </c>
      <c r="P123" s="240">
        <v>389.74</v>
      </c>
      <c r="Q123" s="240">
        <v>398.26</v>
      </c>
      <c r="R123" s="240">
        <v>398.26</v>
      </c>
      <c r="S123" s="240">
        <v>398.26</v>
      </c>
      <c r="T123" s="240">
        <f t="shared" si="49"/>
        <v>4671.09</v>
      </c>
      <c r="V123" s="240">
        <f t="shared" si="50"/>
        <v>1.8151320826952526</v>
      </c>
      <c r="W123" s="240">
        <f t="shared" si="51"/>
        <v>1.8151320826952526</v>
      </c>
      <c r="X123" s="240">
        <f t="shared" si="52"/>
        <v>1.8151320826952526</v>
      </c>
      <c r="Y123" s="240">
        <f t="shared" si="53"/>
        <v>1.776309192835331</v>
      </c>
      <c r="Z123" s="240">
        <f t="shared" si="54"/>
        <v>1.776309192835331</v>
      </c>
      <c r="AA123" s="240">
        <f t="shared" si="55"/>
        <v>1.776309192835331</v>
      </c>
      <c r="AB123" s="240">
        <f t="shared" si="56"/>
        <v>1.776309192835331</v>
      </c>
      <c r="AC123" s="240">
        <f t="shared" si="57"/>
        <v>1.776309192835331</v>
      </c>
      <c r="AD123" s="240">
        <f t="shared" si="58"/>
        <v>1.776309192835331</v>
      </c>
      <c r="AE123" s="240">
        <f t="shared" si="59"/>
        <v>1.815140604348024</v>
      </c>
      <c r="AF123" s="240">
        <f t="shared" si="60"/>
        <v>1.815140604348024</v>
      </c>
      <c r="AG123" s="240">
        <f t="shared" si="61"/>
        <v>1.815140604348024</v>
      </c>
      <c r="AH123" s="242">
        <f>+IFERROR(AVERAGE(V123:AG123),0)</f>
        <v>1.7957227681784846</v>
      </c>
      <c r="AI123" s="242">
        <f t="shared" si="62"/>
        <v>21.548673218141815</v>
      </c>
      <c r="AL123" s="241">
        <v>2</v>
      </c>
      <c r="AM123" s="240">
        <f t="shared" si="67"/>
        <v>3.5914455363569693</v>
      </c>
      <c r="AO123" s="240">
        <f t="shared" si="67"/>
        <v>0</v>
      </c>
      <c r="AQ123" s="240">
        <f t="shared" si="68"/>
        <v>0</v>
      </c>
      <c r="AS123" s="240">
        <f t="shared" si="69"/>
        <v>0</v>
      </c>
    </row>
    <row r="124" spans="1:45" s="241" customFormat="1" ht="12" customHeight="1" x14ac:dyDescent="0.2">
      <c r="A124" s="253" t="str">
        <f t="shared" si="71"/>
        <v>allrecyclingCRY90EOW2</v>
      </c>
      <c r="B124" s="250" t="s">
        <v>495</v>
      </c>
      <c r="C124" s="232" t="s">
        <v>578</v>
      </c>
      <c r="D124" s="238">
        <v>59.13</v>
      </c>
      <c r="E124" s="238">
        <v>62.090000000000018</v>
      </c>
      <c r="F124" s="238">
        <v>62.090000000000018</v>
      </c>
      <c r="G124" s="238"/>
      <c r="H124" s="240">
        <v>1054.3699999999999</v>
      </c>
      <c r="I124" s="240">
        <v>1054.3699999999999</v>
      </c>
      <c r="J124" s="240">
        <v>1113.5</v>
      </c>
      <c r="K124" s="240">
        <v>1166.78</v>
      </c>
      <c r="L124" s="240">
        <v>1259.9099999999999</v>
      </c>
      <c r="M124" s="240">
        <v>1228.8699999999999</v>
      </c>
      <c r="N124" s="240">
        <v>1228.8699999999999</v>
      </c>
      <c r="O124" s="240">
        <v>1104.69</v>
      </c>
      <c r="P124" s="240">
        <v>1166.78</v>
      </c>
      <c r="Q124" s="240">
        <v>1138.2</v>
      </c>
      <c r="R124" s="240">
        <v>1169.24</v>
      </c>
      <c r="S124" s="240">
        <v>1169.24</v>
      </c>
      <c r="T124" s="240">
        <f t="shared" si="49"/>
        <v>13854.82</v>
      </c>
      <c r="V124" s="240">
        <f t="shared" si="50"/>
        <v>17.83138846609166</v>
      </c>
      <c r="W124" s="240">
        <f t="shared" si="51"/>
        <v>17.83138846609166</v>
      </c>
      <c r="X124" s="240">
        <f t="shared" si="52"/>
        <v>18.83138846609166</v>
      </c>
      <c r="Y124" s="240">
        <f t="shared" si="53"/>
        <v>18.791753905620869</v>
      </c>
      <c r="Z124" s="240">
        <f t="shared" si="54"/>
        <v>20.291673377355444</v>
      </c>
      <c r="AA124" s="240">
        <f t="shared" si="55"/>
        <v>19.791753905620865</v>
      </c>
      <c r="AB124" s="240">
        <f t="shared" si="56"/>
        <v>19.791753905620865</v>
      </c>
      <c r="AC124" s="240">
        <f t="shared" si="57"/>
        <v>17.791753905620869</v>
      </c>
      <c r="AD124" s="240">
        <f t="shared" si="58"/>
        <v>18.791753905620869</v>
      </c>
      <c r="AE124" s="240">
        <f t="shared" si="59"/>
        <v>18.331454340473503</v>
      </c>
      <c r="AF124" s="240">
        <f t="shared" si="60"/>
        <v>18.831373812208081</v>
      </c>
      <c r="AG124" s="240">
        <f t="shared" si="61"/>
        <v>18.831373812208081</v>
      </c>
      <c r="AH124" s="242">
        <f t="shared" si="70"/>
        <v>18.811567522385371</v>
      </c>
      <c r="AI124" s="242">
        <f t="shared" si="62"/>
        <v>225.73881026862446</v>
      </c>
      <c r="AL124" s="241">
        <v>2</v>
      </c>
      <c r="AM124" s="240">
        <f t="shared" si="67"/>
        <v>37.623135044770741</v>
      </c>
      <c r="AO124" s="240">
        <f t="shared" si="67"/>
        <v>0</v>
      </c>
      <c r="AQ124" s="240">
        <f t="shared" si="68"/>
        <v>0</v>
      </c>
      <c r="AS124" s="240">
        <f t="shared" si="69"/>
        <v>0</v>
      </c>
    </row>
    <row r="125" spans="1:45" s="241" customFormat="1" ht="12" customHeight="1" x14ac:dyDescent="0.2">
      <c r="A125" s="253" t="str">
        <f t="shared" si="71"/>
        <v>allrecyclingCRY90EOW3</v>
      </c>
      <c r="B125" s="250" t="s">
        <v>496</v>
      </c>
      <c r="C125" s="232" t="s">
        <v>579</v>
      </c>
      <c r="D125" s="238">
        <v>70.509999999999991</v>
      </c>
      <c r="E125" s="238">
        <v>74.040000000000006</v>
      </c>
      <c r="F125" s="238">
        <v>74.040000000000006</v>
      </c>
      <c r="G125" s="238"/>
      <c r="H125" s="240">
        <v>141.02000000000001</v>
      </c>
      <c r="I125" s="240">
        <v>141.02000000000001</v>
      </c>
      <c r="J125" s="240">
        <v>141.02000000000001</v>
      </c>
      <c r="K125" s="240">
        <v>91.66</v>
      </c>
      <c r="L125" s="240">
        <v>363.14000000000004</v>
      </c>
      <c r="M125" s="240">
        <v>148.08000000000001</v>
      </c>
      <c r="N125" s="240">
        <v>148.08000000000001</v>
      </c>
      <c r="O125" s="240">
        <v>148.08000000000001</v>
      </c>
      <c r="P125" s="240">
        <v>148.08000000000001</v>
      </c>
      <c r="Q125" s="240">
        <v>148.08000000000001</v>
      </c>
      <c r="R125" s="240">
        <v>148.08000000000001</v>
      </c>
      <c r="S125" s="240">
        <v>148.08000000000001</v>
      </c>
      <c r="T125" s="240">
        <f t="shared" si="49"/>
        <v>1914.4199999999996</v>
      </c>
      <c r="V125" s="240">
        <f t="shared" si="50"/>
        <v>2.0000000000000004</v>
      </c>
      <c r="W125" s="240">
        <f t="shared" si="51"/>
        <v>2.0000000000000004</v>
      </c>
      <c r="X125" s="240">
        <f t="shared" si="52"/>
        <v>2.0000000000000004</v>
      </c>
      <c r="Y125" s="240">
        <f t="shared" si="53"/>
        <v>1.2379794705564557</v>
      </c>
      <c r="Z125" s="240">
        <f t="shared" si="54"/>
        <v>4.9046461372231231</v>
      </c>
      <c r="AA125" s="240">
        <f t="shared" si="55"/>
        <v>2</v>
      </c>
      <c r="AB125" s="240">
        <f t="shared" si="56"/>
        <v>2</v>
      </c>
      <c r="AC125" s="240">
        <f t="shared" si="57"/>
        <v>2</v>
      </c>
      <c r="AD125" s="240">
        <f t="shared" si="58"/>
        <v>2</v>
      </c>
      <c r="AE125" s="240">
        <f t="shared" si="59"/>
        <v>2</v>
      </c>
      <c r="AF125" s="240">
        <f t="shared" si="60"/>
        <v>2</v>
      </c>
      <c r="AG125" s="240">
        <f t="shared" si="61"/>
        <v>2</v>
      </c>
      <c r="AH125" s="242">
        <f t="shared" si="70"/>
        <v>2.1785521339816314</v>
      </c>
      <c r="AI125" s="242">
        <f t="shared" si="62"/>
        <v>26.142625607779578</v>
      </c>
      <c r="AL125" s="241">
        <v>3</v>
      </c>
      <c r="AM125" s="240">
        <f t="shared" si="67"/>
        <v>6.5356564019448946</v>
      </c>
      <c r="AO125" s="240">
        <f t="shared" si="67"/>
        <v>0</v>
      </c>
      <c r="AQ125" s="240">
        <f t="shared" si="68"/>
        <v>0</v>
      </c>
      <c r="AS125" s="240">
        <f t="shared" si="69"/>
        <v>0</v>
      </c>
    </row>
    <row r="126" spans="1:45" s="241" customFormat="1" ht="12" customHeight="1" x14ac:dyDescent="0.2">
      <c r="A126" s="253" t="str">
        <f t="shared" si="71"/>
        <v>allrecyclingCRYGLASS1X</v>
      </c>
      <c r="B126" s="250" t="s">
        <v>497</v>
      </c>
      <c r="C126" s="232" t="s">
        <v>580</v>
      </c>
      <c r="D126" s="238">
        <v>31.829999999999988</v>
      </c>
      <c r="E126" s="238">
        <v>33.420000000000009</v>
      </c>
      <c r="F126" s="238">
        <v>33.420000000000009</v>
      </c>
      <c r="G126" s="238"/>
      <c r="H126" s="240">
        <v>2043.0300000000002</v>
      </c>
      <c r="I126" s="240">
        <v>2066.89</v>
      </c>
      <c r="J126" s="240">
        <v>2092.9900000000002</v>
      </c>
      <c r="K126" s="240">
        <v>2182.4799999999996</v>
      </c>
      <c r="L126" s="240">
        <v>2185.5100000000002</v>
      </c>
      <c r="M126" s="240">
        <v>2185.5100000000002</v>
      </c>
      <c r="N126" s="240">
        <v>2193.87</v>
      </c>
      <c r="O126" s="240">
        <v>2218.9299999999998</v>
      </c>
      <c r="P126" s="240">
        <v>2386.0300000000002</v>
      </c>
      <c r="Q126" s="240">
        <v>2536.42</v>
      </c>
      <c r="R126" s="240">
        <v>2556.1600000000003</v>
      </c>
      <c r="S126" s="240">
        <v>2556.1600000000003</v>
      </c>
      <c r="T126" s="240">
        <f t="shared" si="49"/>
        <v>27203.979999999996</v>
      </c>
      <c r="V126" s="240">
        <f t="shared" si="50"/>
        <v>64.18567389255422</v>
      </c>
      <c r="W126" s="240">
        <f t="shared" si="51"/>
        <v>64.935281181275542</v>
      </c>
      <c r="X126" s="240">
        <f t="shared" si="52"/>
        <v>65.755262331134176</v>
      </c>
      <c r="Y126" s="240">
        <f t="shared" si="53"/>
        <v>65.30460801915018</v>
      </c>
      <c r="Z126" s="240">
        <f t="shared" si="54"/>
        <v>65.395272292040687</v>
      </c>
      <c r="AA126" s="240">
        <f t="shared" si="55"/>
        <v>65.395272292040687</v>
      </c>
      <c r="AB126" s="240">
        <f t="shared" si="56"/>
        <v>65.645421903052039</v>
      </c>
      <c r="AC126" s="240">
        <f t="shared" si="57"/>
        <v>66.395272292040673</v>
      </c>
      <c r="AD126" s="240">
        <f t="shared" si="58"/>
        <v>71.395272292040687</v>
      </c>
      <c r="AE126" s="240">
        <f t="shared" si="59"/>
        <v>75.895272292040673</v>
      </c>
      <c r="AF126" s="240">
        <f t="shared" si="60"/>
        <v>76.485936564931166</v>
      </c>
      <c r="AG126" s="240">
        <f t="shared" si="61"/>
        <v>76.485936564931166</v>
      </c>
      <c r="AH126" s="242">
        <f t="shared" si="70"/>
        <v>68.606206826435979</v>
      </c>
      <c r="AI126" s="242">
        <f t="shared" si="62"/>
        <v>823.27448191723181</v>
      </c>
      <c r="AL126" s="241">
        <v>1</v>
      </c>
      <c r="AM126" s="240">
        <f t="shared" si="67"/>
        <v>68.606206826435979</v>
      </c>
      <c r="AO126" s="240">
        <f t="shared" si="67"/>
        <v>0</v>
      </c>
      <c r="AQ126" s="240">
        <f t="shared" si="68"/>
        <v>0</v>
      </c>
      <c r="AS126" s="240">
        <f t="shared" si="69"/>
        <v>0</v>
      </c>
    </row>
    <row r="127" spans="1:45" s="241" customFormat="1" ht="12" customHeight="1" x14ac:dyDescent="0.2">
      <c r="A127" s="253" t="str">
        <f>"Food"&amp;"recycling"&amp;B127</f>
        <v>FoodrecyclingCFR32G1X</v>
      </c>
      <c r="B127" s="250" t="s">
        <v>487</v>
      </c>
      <c r="C127" s="232" t="s">
        <v>570</v>
      </c>
      <c r="D127" s="238">
        <v>15.309999999999999</v>
      </c>
      <c r="E127" s="238">
        <v>17.680000000000003</v>
      </c>
      <c r="F127" s="238">
        <v>17.680000000000003</v>
      </c>
      <c r="G127" s="238"/>
      <c r="H127" s="240">
        <v>0</v>
      </c>
      <c r="I127" s="240">
        <v>0</v>
      </c>
      <c r="J127" s="240">
        <v>0</v>
      </c>
      <c r="K127" s="240">
        <v>0</v>
      </c>
      <c r="L127" s="240">
        <v>0</v>
      </c>
      <c r="M127" s="240">
        <v>0</v>
      </c>
      <c r="N127" s="240">
        <v>0</v>
      </c>
      <c r="O127" s="240">
        <v>0</v>
      </c>
      <c r="P127" s="240">
        <v>0</v>
      </c>
      <c r="Q127" s="240">
        <v>0</v>
      </c>
      <c r="R127" s="240">
        <v>0</v>
      </c>
      <c r="S127" s="240">
        <v>0</v>
      </c>
      <c r="T127" s="240">
        <f t="shared" si="49"/>
        <v>0</v>
      </c>
      <c r="V127" s="240">
        <f t="shared" si="50"/>
        <v>0</v>
      </c>
      <c r="W127" s="240">
        <f t="shared" si="51"/>
        <v>0</v>
      </c>
      <c r="X127" s="240">
        <f t="shared" si="52"/>
        <v>0</v>
      </c>
      <c r="Y127" s="240">
        <f t="shared" si="53"/>
        <v>0</v>
      </c>
      <c r="Z127" s="240">
        <f t="shared" si="54"/>
        <v>0</v>
      </c>
      <c r="AA127" s="240">
        <f t="shared" si="55"/>
        <v>0</v>
      </c>
      <c r="AB127" s="240">
        <f t="shared" si="56"/>
        <v>0</v>
      </c>
      <c r="AC127" s="240">
        <f t="shared" si="57"/>
        <v>0</v>
      </c>
      <c r="AD127" s="240">
        <f t="shared" si="58"/>
        <v>0</v>
      </c>
      <c r="AE127" s="240">
        <f t="shared" si="59"/>
        <v>0</v>
      </c>
      <c r="AF127" s="240">
        <f t="shared" si="60"/>
        <v>0</v>
      </c>
      <c r="AG127" s="240">
        <f t="shared" si="61"/>
        <v>0</v>
      </c>
      <c r="AH127" s="242">
        <f>+IFERROR(AVERAGE(V127:AG127),0)</f>
        <v>0</v>
      </c>
      <c r="AI127" s="242">
        <f t="shared" si="62"/>
        <v>0</v>
      </c>
      <c r="AJ127" s="241" t="s">
        <v>1176</v>
      </c>
      <c r="AL127" s="241">
        <v>1</v>
      </c>
      <c r="AM127" s="240">
        <f t="shared" si="67"/>
        <v>0</v>
      </c>
      <c r="AO127" s="240">
        <f t="shared" si="67"/>
        <v>0</v>
      </c>
      <c r="AQ127" s="240">
        <f t="shared" si="68"/>
        <v>0</v>
      </c>
      <c r="AS127" s="240">
        <f t="shared" si="69"/>
        <v>0</v>
      </c>
    </row>
    <row r="128" spans="1:45" s="241" customFormat="1" ht="12" customHeight="1" x14ac:dyDescent="0.2">
      <c r="A128" s="253" t="str">
        <f>"Food"&amp;"recycling"&amp;B128</f>
        <v>FoodrecyclingCFR65G1X</v>
      </c>
      <c r="B128" s="250" t="s">
        <v>488</v>
      </c>
      <c r="C128" s="232" t="s">
        <v>571</v>
      </c>
      <c r="D128" s="238">
        <v>30.920000000000005</v>
      </c>
      <c r="E128" s="238">
        <v>35.71</v>
      </c>
      <c r="F128" s="238">
        <v>35.71</v>
      </c>
      <c r="G128" s="238"/>
      <c r="H128" s="240">
        <v>517.41</v>
      </c>
      <c r="I128" s="240">
        <v>517.41</v>
      </c>
      <c r="J128" s="240">
        <v>517.41</v>
      </c>
      <c r="K128" s="240">
        <v>541.58000000000004</v>
      </c>
      <c r="L128" s="240">
        <v>550.5</v>
      </c>
      <c r="M128" s="240">
        <v>729.06</v>
      </c>
      <c r="N128" s="240">
        <v>755.84</v>
      </c>
      <c r="O128" s="240">
        <v>791.57</v>
      </c>
      <c r="P128" s="240">
        <v>871.88000000000011</v>
      </c>
      <c r="Q128" s="240">
        <v>793.23</v>
      </c>
      <c r="R128" s="240">
        <v>754.06</v>
      </c>
      <c r="S128" s="240">
        <v>789.77</v>
      </c>
      <c r="T128" s="240">
        <f t="shared" si="49"/>
        <v>8129.7199999999993</v>
      </c>
      <c r="V128" s="240">
        <f t="shared" si="50"/>
        <v>16.733829236739972</v>
      </c>
      <c r="W128" s="240">
        <f t="shared" si="51"/>
        <v>16.733829236739972</v>
      </c>
      <c r="X128" s="240">
        <f t="shared" si="52"/>
        <v>16.733829236739972</v>
      </c>
      <c r="Y128" s="240">
        <f t="shared" si="53"/>
        <v>15.166059927191263</v>
      </c>
      <c r="Z128" s="240">
        <f t="shared" si="54"/>
        <v>15.415849901988238</v>
      </c>
      <c r="AA128" s="240">
        <f t="shared" si="55"/>
        <v>20.41612993559227</v>
      </c>
      <c r="AB128" s="240">
        <f t="shared" si="56"/>
        <v>21.166059927191263</v>
      </c>
      <c r="AC128" s="240">
        <f t="shared" si="57"/>
        <v>22.16661999439933</v>
      </c>
      <c r="AD128" s="240">
        <f t="shared" si="58"/>
        <v>24.415569868384207</v>
      </c>
      <c r="AE128" s="240">
        <f t="shared" si="59"/>
        <v>22.21310557266872</v>
      </c>
      <c r="AF128" s="240">
        <f t="shared" si="60"/>
        <v>21.116213945673479</v>
      </c>
      <c r="AG128" s="240">
        <f t="shared" si="61"/>
        <v>22.116213945673479</v>
      </c>
      <c r="AH128" s="242">
        <f>+IFERROR(AVERAGE(V128:AG128),0)</f>
        <v>19.532775894081848</v>
      </c>
      <c r="AI128" s="242">
        <f t="shared" si="62"/>
        <v>234.39331072898216</v>
      </c>
      <c r="AJ128" s="241" t="s">
        <v>1176</v>
      </c>
      <c r="AL128" s="241">
        <v>1</v>
      </c>
      <c r="AM128" s="240">
        <f t="shared" si="67"/>
        <v>19.532775894081848</v>
      </c>
      <c r="AO128" s="240">
        <f t="shared" si="67"/>
        <v>0</v>
      </c>
      <c r="AQ128" s="240">
        <f t="shared" si="68"/>
        <v>0</v>
      </c>
      <c r="AS128" s="240">
        <f t="shared" si="69"/>
        <v>0</v>
      </c>
    </row>
    <row r="129" spans="1:45" s="241" customFormat="1" ht="12" customHeight="1" x14ac:dyDescent="0.2">
      <c r="A129" s="253" t="str">
        <f>"Food"&amp;"recycling"&amp;B129</f>
        <v>FoodrecyclingCFR65G2X</v>
      </c>
      <c r="B129" s="250" t="s">
        <v>489</v>
      </c>
      <c r="C129" s="232" t="s">
        <v>572</v>
      </c>
      <c r="D129" s="238">
        <v>61.840000000000011</v>
      </c>
      <c r="E129" s="238">
        <v>71.42</v>
      </c>
      <c r="F129" s="238">
        <v>71.42</v>
      </c>
      <c r="G129" s="238"/>
      <c r="H129" s="240">
        <v>963.7</v>
      </c>
      <c r="I129" s="240">
        <v>963.7</v>
      </c>
      <c r="J129" s="240">
        <v>963.7</v>
      </c>
      <c r="K129" s="240">
        <v>1011.88</v>
      </c>
      <c r="L129" s="240">
        <v>1011.88</v>
      </c>
      <c r="M129" s="240">
        <v>1000.1800000000001</v>
      </c>
      <c r="N129" s="240">
        <v>1000.1800000000001</v>
      </c>
      <c r="O129" s="240">
        <v>1000.1800000000001</v>
      </c>
      <c r="P129" s="240">
        <v>1000.1800000000001</v>
      </c>
      <c r="Q129" s="240">
        <v>1000.1800000000001</v>
      </c>
      <c r="R129" s="240">
        <v>1000.1800000000001</v>
      </c>
      <c r="S129" s="240">
        <v>1000.1800000000001</v>
      </c>
      <c r="T129" s="240">
        <f t="shared" si="49"/>
        <v>11916.120000000003</v>
      </c>
      <c r="V129" s="240">
        <f t="shared" si="50"/>
        <v>15.583764553686931</v>
      </c>
      <c r="W129" s="240">
        <f t="shared" si="51"/>
        <v>15.583764553686931</v>
      </c>
      <c r="X129" s="240">
        <f t="shared" si="52"/>
        <v>15.583764553686931</v>
      </c>
      <c r="Y129" s="240">
        <f t="shared" si="53"/>
        <v>14.16802016241949</v>
      </c>
      <c r="Z129" s="240">
        <f t="shared" si="54"/>
        <v>14.16802016241949</v>
      </c>
      <c r="AA129" s="240">
        <f t="shared" si="55"/>
        <v>14.004200504060488</v>
      </c>
      <c r="AB129" s="240">
        <f t="shared" si="56"/>
        <v>14.004200504060488</v>
      </c>
      <c r="AC129" s="240">
        <f t="shared" si="57"/>
        <v>14.004200504060488</v>
      </c>
      <c r="AD129" s="240">
        <f t="shared" si="58"/>
        <v>14.004200504060488</v>
      </c>
      <c r="AE129" s="240">
        <f t="shared" si="59"/>
        <v>14.004200504060488</v>
      </c>
      <c r="AF129" s="240">
        <f t="shared" si="60"/>
        <v>14.004200504060488</v>
      </c>
      <c r="AG129" s="240">
        <f t="shared" si="61"/>
        <v>14.004200504060488</v>
      </c>
      <c r="AH129" s="242">
        <f>+IFERROR(AVERAGE(V129:AG129),0)</f>
        <v>14.426394792860266</v>
      </c>
      <c r="AI129" s="242">
        <f t="shared" si="62"/>
        <v>173.11673751432321</v>
      </c>
      <c r="AJ129" s="241" t="s">
        <v>1176</v>
      </c>
      <c r="AL129" s="241">
        <v>1</v>
      </c>
      <c r="AM129" s="240">
        <f t="shared" si="67"/>
        <v>14.426394792860266</v>
      </c>
      <c r="AO129" s="240">
        <f t="shared" si="67"/>
        <v>0</v>
      </c>
      <c r="AQ129" s="240">
        <f t="shared" si="68"/>
        <v>0</v>
      </c>
      <c r="AS129" s="240">
        <f t="shared" si="69"/>
        <v>0</v>
      </c>
    </row>
    <row r="130" spans="1:45" s="241" customFormat="1" ht="12" customHeight="1" x14ac:dyDescent="0.2">
      <c r="A130" s="253" t="str">
        <f>"Schools"&amp;"recycling"&amp;B130</f>
        <v>SchoolsrecyclingCOMREC</v>
      </c>
      <c r="B130" s="250" t="s">
        <v>525</v>
      </c>
      <c r="C130" s="232" t="s">
        <v>605</v>
      </c>
      <c r="D130" s="238">
        <v>76.38</v>
      </c>
      <c r="E130" s="238">
        <v>76.38</v>
      </c>
      <c r="F130" s="238">
        <v>76.38</v>
      </c>
      <c r="G130" s="233"/>
      <c r="H130" s="240">
        <v>7673.91</v>
      </c>
      <c r="I130" s="240">
        <v>7673.91</v>
      </c>
      <c r="J130" s="240">
        <v>7673.91</v>
      </c>
      <c r="K130" s="240">
        <v>3425.5300000000007</v>
      </c>
      <c r="L130" s="240">
        <v>2698.1</v>
      </c>
      <c r="M130" s="240">
        <v>7930.56</v>
      </c>
      <c r="N130" s="240">
        <v>7679.63</v>
      </c>
      <c r="O130" s="240">
        <v>7493.2300000000005</v>
      </c>
      <c r="P130" s="240">
        <v>7548.2300000000005</v>
      </c>
      <c r="Q130" s="240">
        <v>7549.92</v>
      </c>
      <c r="R130" s="240">
        <v>7586.43</v>
      </c>
      <c r="S130" s="240">
        <v>7595.17</v>
      </c>
      <c r="T130" s="240">
        <f t="shared" si="49"/>
        <v>82528.530000000013</v>
      </c>
      <c r="V130" s="240">
        <f t="shared" si="50"/>
        <v>100.47014925373135</v>
      </c>
      <c r="W130" s="240">
        <f t="shared" si="51"/>
        <v>100.47014925373135</v>
      </c>
      <c r="X130" s="240">
        <f t="shared" si="52"/>
        <v>100.47014925373135</v>
      </c>
      <c r="Y130" s="240">
        <f t="shared" si="53"/>
        <v>44.848520555119151</v>
      </c>
      <c r="Z130" s="240">
        <f t="shared" si="54"/>
        <v>35.324692327834512</v>
      </c>
      <c r="AA130" s="240">
        <f t="shared" si="55"/>
        <v>103.83032207384133</v>
      </c>
      <c r="AB130" s="240">
        <f t="shared" si="56"/>
        <v>100.54503796805447</v>
      </c>
      <c r="AC130" s="240">
        <f t="shared" si="57"/>
        <v>98.104608536266056</v>
      </c>
      <c r="AD130" s="240">
        <f t="shared" si="58"/>
        <v>98.824692327834526</v>
      </c>
      <c r="AE130" s="240">
        <f t="shared" si="59"/>
        <v>98.846818538884534</v>
      </c>
      <c r="AF130" s="240">
        <f t="shared" si="60"/>
        <v>99.324823252160257</v>
      </c>
      <c r="AG130" s="240">
        <f t="shared" si="61"/>
        <v>99.43925111285678</v>
      </c>
      <c r="AH130" s="242">
        <f>+IFERROR(AVERAGE(V130:AG130),0)</f>
        <v>90.041601204503806</v>
      </c>
      <c r="AI130" s="242">
        <f t="shared" si="62"/>
        <v>1080.4992144540456</v>
      </c>
      <c r="AM130" s="240">
        <f t="shared" si="67"/>
        <v>0</v>
      </c>
      <c r="AO130" s="240">
        <f t="shared" si="67"/>
        <v>0</v>
      </c>
      <c r="AQ130" s="240">
        <f t="shared" si="68"/>
        <v>0</v>
      </c>
      <c r="AS130" s="240">
        <f t="shared" si="69"/>
        <v>0</v>
      </c>
    </row>
    <row r="131" spans="1:45" s="241" customFormat="1" ht="12" customHeight="1" x14ac:dyDescent="0.2">
      <c r="A131" s="253" t="str">
        <f>"all"&amp;"recycling"&amp;B131</f>
        <v>allrecyclingWSGL</v>
      </c>
      <c r="B131" s="250" t="s">
        <v>976</v>
      </c>
      <c r="C131" s="232" t="s">
        <v>980</v>
      </c>
      <c r="D131" s="238">
        <v>6.69</v>
      </c>
      <c r="E131" s="238">
        <v>6.69</v>
      </c>
      <c r="F131" s="238">
        <v>6.69</v>
      </c>
      <c r="G131" s="233"/>
      <c r="H131" s="233">
        <v>7.4</v>
      </c>
      <c r="I131" s="233">
        <v>7.4</v>
      </c>
      <c r="J131" s="233">
        <v>7.4</v>
      </c>
      <c r="K131" s="233">
        <v>7.4</v>
      </c>
      <c r="L131" s="233">
        <v>7.4</v>
      </c>
      <c r="M131" s="233">
        <v>7.4</v>
      </c>
      <c r="N131" s="233">
        <v>7.4</v>
      </c>
      <c r="O131" s="240">
        <v>7.4</v>
      </c>
      <c r="P131" s="240">
        <v>7.4</v>
      </c>
      <c r="Q131" s="240">
        <v>7.8</v>
      </c>
      <c r="R131" s="240">
        <v>7.8</v>
      </c>
      <c r="S131" s="240">
        <v>7.8</v>
      </c>
      <c r="T131" s="240">
        <f>SUM(H131:S131)</f>
        <v>89.999999999999986</v>
      </c>
      <c r="V131" s="240">
        <f t="shared" si="50"/>
        <v>1.1061285500747384</v>
      </c>
      <c r="W131" s="240">
        <f t="shared" si="51"/>
        <v>1.1061285500747384</v>
      </c>
      <c r="X131" s="240">
        <f t="shared" si="52"/>
        <v>1.1061285500747384</v>
      </c>
      <c r="Y131" s="240">
        <f t="shared" si="53"/>
        <v>1.1061285500747384</v>
      </c>
      <c r="Z131" s="240">
        <f t="shared" si="54"/>
        <v>1.1061285500747384</v>
      </c>
      <c r="AA131" s="240">
        <f t="shared" si="55"/>
        <v>1.1061285500747384</v>
      </c>
      <c r="AB131" s="240">
        <f t="shared" si="56"/>
        <v>1.1061285500747384</v>
      </c>
      <c r="AC131" s="240">
        <f t="shared" si="57"/>
        <v>1.1061285500747384</v>
      </c>
      <c r="AD131" s="240">
        <f t="shared" si="58"/>
        <v>1.1061285500747384</v>
      </c>
      <c r="AE131" s="240">
        <f t="shared" si="59"/>
        <v>1.1659192825112106</v>
      </c>
      <c r="AF131" s="240">
        <f t="shared" si="60"/>
        <v>1.1659192825112106</v>
      </c>
      <c r="AG131" s="240">
        <f t="shared" si="61"/>
        <v>1.1659192825112106</v>
      </c>
      <c r="AH131" s="242">
        <f>+IFERROR(AVERAGE(V131:AG131),0)</f>
        <v>1.1210762331838566</v>
      </c>
      <c r="AI131" s="242">
        <f>+SUM(V131:AG131)</f>
        <v>13.45291479820628</v>
      </c>
    </row>
    <row r="132" spans="1:45" s="241" customFormat="1" ht="12" customHeight="1" x14ac:dyDescent="0.2">
      <c r="A132" s="253" t="str">
        <f>"Schools"&amp;"recycling"&amp;B132</f>
        <v>SchoolsrecyclingSFR65G1X</v>
      </c>
      <c r="B132" s="250" t="s">
        <v>1276</v>
      </c>
      <c r="C132" s="232" t="s">
        <v>1365</v>
      </c>
      <c r="D132" s="238">
        <v>24.72</v>
      </c>
      <c r="E132" s="238">
        <v>24.72</v>
      </c>
      <c r="F132" s="238">
        <v>24.72</v>
      </c>
      <c r="G132" s="238"/>
      <c r="H132" s="240">
        <v>1520.4</v>
      </c>
      <c r="I132" s="240">
        <v>1520.4</v>
      </c>
      <c r="J132" s="240">
        <v>1520.4</v>
      </c>
      <c r="K132" s="240">
        <v>1235.25</v>
      </c>
      <c r="L132" s="240">
        <v>-506.80000000000007</v>
      </c>
      <c r="M132" s="240">
        <v>1419.04</v>
      </c>
      <c r="N132" s="240">
        <v>1419.04</v>
      </c>
      <c r="O132" s="240">
        <v>1355.69</v>
      </c>
      <c r="P132" s="240">
        <v>1292.3400000000001</v>
      </c>
      <c r="Q132" s="240">
        <v>1292.3400000000001</v>
      </c>
      <c r="R132" s="240">
        <v>1292.3400000000001</v>
      </c>
      <c r="S132" s="240">
        <v>1292.3400000000001</v>
      </c>
      <c r="T132" s="240">
        <f>SUM(H132:S132)</f>
        <v>14652.78</v>
      </c>
      <c r="V132" s="240">
        <f t="shared" si="50"/>
        <v>61.504854368932044</v>
      </c>
      <c r="W132" s="240">
        <f t="shared" si="51"/>
        <v>61.504854368932044</v>
      </c>
      <c r="X132" s="240">
        <f t="shared" si="52"/>
        <v>61.504854368932044</v>
      </c>
      <c r="Y132" s="240">
        <f t="shared" si="53"/>
        <v>49.969660194174757</v>
      </c>
      <c r="Z132" s="240">
        <f t="shared" si="54"/>
        <v>-20.501618122977352</v>
      </c>
      <c r="AA132" s="240">
        <f t="shared" si="55"/>
        <v>57.404530744336569</v>
      </c>
      <c r="AB132" s="240">
        <f t="shared" si="56"/>
        <v>57.404530744336569</v>
      </c>
      <c r="AC132" s="240">
        <f t="shared" si="57"/>
        <v>54.841828478964409</v>
      </c>
      <c r="AD132" s="240">
        <f t="shared" si="58"/>
        <v>52.279126213592242</v>
      </c>
      <c r="AE132" s="240">
        <f t="shared" si="59"/>
        <v>52.279126213592242</v>
      </c>
      <c r="AF132" s="240">
        <f t="shared" si="60"/>
        <v>52.279126213592242</v>
      </c>
      <c r="AG132" s="240">
        <f t="shared" si="61"/>
        <v>52.279126213592242</v>
      </c>
      <c r="AH132" s="242">
        <f t="shared" ref="AH132:AH180" si="72">+IFERROR(AVERAGE(V132:AG132),0)</f>
        <v>49.395833333333343</v>
      </c>
      <c r="AI132" s="242">
        <f t="shared" si="62"/>
        <v>592.75000000000011</v>
      </c>
    </row>
    <row r="133" spans="1:45" ht="12" customHeight="1" x14ac:dyDescent="0.2">
      <c r="A133" s="45" t="str">
        <f t="shared" ref="A133:A142" si="73">"all"&amp;"recycling"&amp;B133</f>
        <v>allrecyclingCRYEX1.5YD</v>
      </c>
      <c r="B133" s="61" t="s">
        <v>526</v>
      </c>
      <c r="C133" s="58" t="s">
        <v>606</v>
      </c>
      <c r="D133" s="11">
        <v>33.18</v>
      </c>
      <c r="E133" s="11">
        <v>34.839999999999996</v>
      </c>
      <c r="F133" s="11">
        <v>34.840000000000003</v>
      </c>
      <c r="G133" s="12"/>
      <c r="H133" s="13">
        <v>0</v>
      </c>
      <c r="I133" s="13">
        <v>0</v>
      </c>
      <c r="J133" s="13">
        <v>0</v>
      </c>
      <c r="K133" s="13">
        <v>0</v>
      </c>
      <c r="L133" s="13">
        <v>0</v>
      </c>
      <c r="M133" s="13">
        <v>0</v>
      </c>
      <c r="N133" s="13">
        <v>0</v>
      </c>
      <c r="O133" s="13">
        <v>0</v>
      </c>
      <c r="P133" s="13">
        <v>34.840000000000003</v>
      </c>
      <c r="Q133" s="13">
        <v>104.52</v>
      </c>
      <c r="R133" s="13">
        <v>0</v>
      </c>
      <c r="S133" s="13">
        <v>0</v>
      </c>
      <c r="T133" s="25">
        <f t="shared" si="49"/>
        <v>139.36000000000001</v>
      </c>
      <c r="V133" s="13">
        <f t="shared" si="50"/>
        <v>0</v>
      </c>
      <c r="W133" s="13">
        <f t="shared" si="51"/>
        <v>0</v>
      </c>
      <c r="X133" s="13">
        <f t="shared" si="52"/>
        <v>0</v>
      </c>
      <c r="Y133" s="13">
        <f t="shared" si="53"/>
        <v>0</v>
      </c>
      <c r="Z133" s="13">
        <f t="shared" si="54"/>
        <v>0</v>
      </c>
      <c r="AA133" s="13">
        <f t="shared" si="55"/>
        <v>0</v>
      </c>
      <c r="AB133" s="13">
        <f t="shared" si="56"/>
        <v>0</v>
      </c>
      <c r="AC133" s="13">
        <f t="shared" si="57"/>
        <v>0</v>
      </c>
      <c r="AD133" s="13">
        <f t="shared" si="58"/>
        <v>1.0000000000000002</v>
      </c>
      <c r="AE133" s="13">
        <f t="shared" si="59"/>
        <v>2.9999999999999996</v>
      </c>
      <c r="AF133" s="13">
        <f t="shared" si="60"/>
        <v>0</v>
      </c>
      <c r="AG133" s="13">
        <f t="shared" si="61"/>
        <v>0</v>
      </c>
      <c r="AH133" s="15">
        <f t="shared" si="72"/>
        <v>0.33333333333333331</v>
      </c>
      <c r="AI133" s="15">
        <f t="shared" si="62"/>
        <v>4</v>
      </c>
    </row>
    <row r="134" spans="1:45" ht="12" customHeight="1" x14ac:dyDescent="0.2">
      <c r="A134" s="45" t="str">
        <f t="shared" si="73"/>
        <v>allrecyclingCRYEX90</v>
      </c>
      <c r="B134" s="61" t="s">
        <v>527</v>
      </c>
      <c r="C134" s="58" t="s">
        <v>607</v>
      </c>
      <c r="D134" s="11">
        <v>24.9</v>
      </c>
      <c r="E134" s="11">
        <v>26.150000000000002</v>
      </c>
      <c r="F134" s="11">
        <v>26.15</v>
      </c>
      <c r="G134" s="12"/>
      <c r="H134" s="13">
        <v>0</v>
      </c>
      <c r="I134" s="13">
        <v>0</v>
      </c>
      <c r="J134" s="13">
        <v>0</v>
      </c>
      <c r="K134" s="13">
        <v>0</v>
      </c>
      <c r="L134" s="13">
        <v>26.15</v>
      </c>
      <c r="M134" s="13">
        <v>0</v>
      </c>
      <c r="N134" s="13">
        <v>0</v>
      </c>
      <c r="O134" s="13">
        <v>26.15</v>
      </c>
      <c r="P134" s="13">
        <v>78.45</v>
      </c>
      <c r="Q134" s="13">
        <v>78.45</v>
      </c>
      <c r="R134" s="13">
        <v>0</v>
      </c>
      <c r="S134" s="13">
        <v>0</v>
      </c>
      <c r="T134" s="25">
        <f t="shared" si="49"/>
        <v>209.2</v>
      </c>
      <c r="V134" s="13">
        <f t="shared" ref="V134:V180" si="74">IFERROR(H134/$D134,0)</f>
        <v>0</v>
      </c>
      <c r="W134" s="13">
        <f t="shared" ref="W134:W180" si="75">IFERROR(I134/$D134,0)</f>
        <v>0</v>
      </c>
      <c r="X134" s="13">
        <f t="shared" ref="X134:X180" si="76">IFERROR(J134/$D134,0)</f>
        <v>0</v>
      </c>
      <c r="Y134" s="13">
        <f t="shared" ref="Y134:Y180" si="77">IFERROR(K134/$E134,0)</f>
        <v>0</v>
      </c>
      <c r="Z134" s="13">
        <f t="shared" ref="Z134:Z180" si="78">IFERROR(L134/$E134,0)</f>
        <v>0.99999999999999989</v>
      </c>
      <c r="AA134" s="13">
        <f t="shared" ref="AA134:AA180" si="79">IFERROR(M134/$E134,0)</f>
        <v>0</v>
      </c>
      <c r="AB134" s="13">
        <f t="shared" ref="AB134:AB180" si="80">IFERROR(N134/$E134,0)</f>
        <v>0</v>
      </c>
      <c r="AC134" s="13">
        <f t="shared" ref="AC134:AC180" si="81">IFERROR(O134/$E134,0)</f>
        <v>0.99999999999999989</v>
      </c>
      <c r="AD134" s="13">
        <f t="shared" ref="AD134:AD180" si="82">IFERROR(P134/$E134,0)</f>
        <v>3</v>
      </c>
      <c r="AE134" s="13">
        <f t="shared" ref="AE134:AE180" si="83">IFERROR(Q134/$F134,0)</f>
        <v>3.0000000000000004</v>
      </c>
      <c r="AF134" s="13">
        <f t="shared" ref="AF134:AF180" si="84">IFERROR(R134/$F134,0)</f>
        <v>0</v>
      </c>
      <c r="AG134" s="13">
        <f t="shared" ref="AG134:AG180" si="85">IFERROR(S134/$F134,0)</f>
        <v>0</v>
      </c>
      <c r="AH134" s="15">
        <f t="shared" si="72"/>
        <v>0.66666666666666663</v>
      </c>
      <c r="AI134" s="15">
        <f t="shared" si="62"/>
        <v>8</v>
      </c>
    </row>
    <row r="135" spans="1:45" ht="12" customHeight="1" x14ac:dyDescent="0.2">
      <c r="A135" s="45" t="str">
        <f t="shared" si="73"/>
        <v>allrecyclingCRYEX903</v>
      </c>
      <c r="B135" s="61" t="s">
        <v>528</v>
      </c>
      <c r="C135" s="58" t="s">
        <v>608</v>
      </c>
      <c r="D135" s="11">
        <v>33.18</v>
      </c>
      <c r="E135" s="11">
        <v>34.839999999999996</v>
      </c>
      <c r="F135" s="11">
        <v>34.840000000000003</v>
      </c>
      <c r="G135" s="12"/>
      <c r="H135" s="13">
        <v>0</v>
      </c>
      <c r="I135" s="13">
        <v>0</v>
      </c>
      <c r="J135" s="13">
        <v>0</v>
      </c>
      <c r="K135" s="13">
        <v>0</v>
      </c>
      <c r="L135" s="13">
        <v>0</v>
      </c>
      <c r="M135" s="13">
        <v>0</v>
      </c>
      <c r="N135" s="13">
        <v>0</v>
      </c>
      <c r="O135" s="13">
        <v>0</v>
      </c>
      <c r="P135" s="13">
        <v>0</v>
      </c>
      <c r="Q135" s="13">
        <v>0</v>
      </c>
      <c r="R135" s="13">
        <v>0</v>
      </c>
      <c r="S135" s="13">
        <v>0</v>
      </c>
      <c r="T135" s="25">
        <f t="shared" si="49"/>
        <v>0</v>
      </c>
      <c r="V135" s="13">
        <f t="shared" si="74"/>
        <v>0</v>
      </c>
      <c r="W135" s="13">
        <f t="shared" si="75"/>
        <v>0</v>
      </c>
      <c r="X135" s="13">
        <f t="shared" si="76"/>
        <v>0</v>
      </c>
      <c r="Y135" s="13">
        <f t="shared" si="77"/>
        <v>0</v>
      </c>
      <c r="Z135" s="13">
        <f t="shared" si="78"/>
        <v>0</v>
      </c>
      <c r="AA135" s="13">
        <f t="shared" si="79"/>
        <v>0</v>
      </c>
      <c r="AB135" s="13">
        <f t="shared" si="80"/>
        <v>0</v>
      </c>
      <c r="AC135" s="13">
        <f t="shared" si="81"/>
        <v>0</v>
      </c>
      <c r="AD135" s="13">
        <f t="shared" si="82"/>
        <v>0</v>
      </c>
      <c r="AE135" s="13">
        <f t="shared" si="83"/>
        <v>0</v>
      </c>
      <c r="AF135" s="13">
        <f t="shared" si="84"/>
        <v>0</v>
      </c>
      <c r="AG135" s="13">
        <f t="shared" si="85"/>
        <v>0</v>
      </c>
      <c r="AH135" s="15">
        <f t="shared" si="72"/>
        <v>0</v>
      </c>
      <c r="AI135" s="15">
        <f t="shared" ref="AI135:AI180" si="86">+SUM(V135:AG135)</f>
        <v>0</v>
      </c>
    </row>
    <row r="136" spans="1:45" ht="12" customHeight="1" x14ac:dyDescent="0.2">
      <c r="A136" s="45" t="str">
        <f t="shared" si="73"/>
        <v>allrecyclingCRYEX1YD</v>
      </c>
      <c r="B136" s="61" t="s">
        <v>529</v>
      </c>
      <c r="C136" s="58" t="s">
        <v>609</v>
      </c>
      <c r="D136" s="11">
        <v>33.18</v>
      </c>
      <c r="E136" s="11">
        <v>34.839999999999996</v>
      </c>
      <c r="F136" s="11">
        <v>34.840000000000003</v>
      </c>
      <c r="G136" s="12"/>
      <c r="H136" s="13">
        <v>0</v>
      </c>
      <c r="I136" s="13">
        <v>0</v>
      </c>
      <c r="J136" s="13">
        <v>0</v>
      </c>
      <c r="K136" s="13">
        <v>34.840000000000003</v>
      </c>
      <c r="L136" s="13">
        <v>0</v>
      </c>
      <c r="M136" s="13">
        <v>0</v>
      </c>
      <c r="N136" s="13">
        <v>0</v>
      </c>
      <c r="O136" s="13">
        <v>139.36000000000001</v>
      </c>
      <c r="P136" s="13">
        <v>139.36000000000001</v>
      </c>
      <c r="Q136" s="13">
        <v>0</v>
      </c>
      <c r="R136" s="13">
        <v>0</v>
      </c>
      <c r="S136" s="13">
        <v>104.52000000000001</v>
      </c>
      <c r="T136" s="25">
        <f t="shared" ref="T136:T180" si="87">SUM(H136:S136)</f>
        <v>418.08000000000004</v>
      </c>
      <c r="V136" s="13">
        <f t="shared" si="74"/>
        <v>0</v>
      </c>
      <c r="W136" s="13">
        <f t="shared" si="75"/>
        <v>0</v>
      </c>
      <c r="X136" s="13">
        <f t="shared" si="76"/>
        <v>0</v>
      </c>
      <c r="Y136" s="13">
        <f t="shared" si="77"/>
        <v>1.0000000000000002</v>
      </c>
      <c r="Z136" s="13">
        <f t="shared" si="78"/>
        <v>0</v>
      </c>
      <c r="AA136" s="13">
        <f t="shared" si="79"/>
        <v>0</v>
      </c>
      <c r="AB136" s="13">
        <f t="shared" si="80"/>
        <v>0</v>
      </c>
      <c r="AC136" s="13">
        <f t="shared" si="81"/>
        <v>4.0000000000000009</v>
      </c>
      <c r="AD136" s="13">
        <f t="shared" si="82"/>
        <v>4.0000000000000009</v>
      </c>
      <c r="AE136" s="13">
        <f t="shared" si="83"/>
        <v>0</v>
      </c>
      <c r="AF136" s="13">
        <f t="shared" si="84"/>
        <v>0</v>
      </c>
      <c r="AG136" s="13">
        <f t="shared" si="85"/>
        <v>3</v>
      </c>
      <c r="AH136" s="15">
        <f t="shared" si="72"/>
        <v>1.0000000000000002</v>
      </c>
      <c r="AI136" s="15">
        <f t="shared" si="86"/>
        <v>12.000000000000002</v>
      </c>
    </row>
    <row r="137" spans="1:45" ht="12" customHeight="1" x14ac:dyDescent="0.2">
      <c r="A137" s="45" t="str">
        <f t="shared" si="73"/>
        <v>allrecyclingCRYEX2YD</v>
      </c>
      <c r="B137" s="61" t="s">
        <v>530</v>
      </c>
      <c r="C137" s="58" t="s">
        <v>610</v>
      </c>
      <c r="D137" s="11">
        <v>36.519999999999996</v>
      </c>
      <c r="E137" s="11">
        <v>38.35</v>
      </c>
      <c r="F137" s="11">
        <v>38.35</v>
      </c>
      <c r="G137" s="11"/>
      <c r="H137" s="13">
        <v>0</v>
      </c>
      <c r="I137" s="13">
        <v>26.86</v>
      </c>
      <c r="J137" s="13">
        <v>0</v>
      </c>
      <c r="K137" s="13">
        <v>0</v>
      </c>
      <c r="L137" s="13">
        <v>0</v>
      </c>
      <c r="M137" s="13">
        <v>53.72</v>
      </c>
      <c r="N137" s="13">
        <v>13.43</v>
      </c>
      <c r="O137" s="13">
        <v>65.209999999999994</v>
      </c>
      <c r="P137" s="13">
        <v>256.96000000000004</v>
      </c>
      <c r="Q137" s="13">
        <v>76.7</v>
      </c>
      <c r="R137" s="13">
        <v>76.7</v>
      </c>
      <c r="S137" s="13">
        <v>-38.35</v>
      </c>
      <c r="T137" s="25">
        <f t="shared" si="87"/>
        <v>531.23</v>
      </c>
      <c r="V137" s="13">
        <f t="shared" si="74"/>
        <v>0</v>
      </c>
      <c r="W137" s="13">
        <f t="shared" si="75"/>
        <v>0.73548740416210301</v>
      </c>
      <c r="X137" s="13">
        <f t="shared" si="76"/>
        <v>0</v>
      </c>
      <c r="Y137" s="13">
        <f t="shared" si="77"/>
        <v>0</v>
      </c>
      <c r="Z137" s="13">
        <f t="shared" si="78"/>
        <v>0</v>
      </c>
      <c r="AA137" s="13">
        <f t="shared" si="79"/>
        <v>1.4007822685788787</v>
      </c>
      <c r="AB137" s="13">
        <f t="shared" si="80"/>
        <v>0.35019556714471967</v>
      </c>
      <c r="AC137" s="13">
        <f t="shared" si="81"/>
        <v>1.7003911342894391</v>
      </c>
      <c r="AD137" s="13">
        <f t="shared" si="82"/>
        <v>6.7003911342894398</v>
      </c>
      <c r="AE137" s="13">
        <f t="shared" si="83"/>
        <v>2</v>
      </c>
      <c r="AF137" s="13">
        <f t="shared" si="84"/>
        <v>2</v>
      </c>
      <c r="AG137" s="13">
        <f t="shared" si="85"/>
        <v>-1</v>
      </c>
      <c r="AH137" s="15">
        <f t="shared" si="72"/>
        <v>1.1572706257053815</v>
      </c>
      <c r="AI137" s="15">
        <f t="shared" si="86"/>
        <v>13.887247508464579</v>
      </c>
    </row>
    <row r="138" spans="1:45" ht="12" customHeight="1" x14ac:dyDescent="0.2">
      <c r="A138" s="45" t="str">
        <f t="shared" si="73"/>
        <v>allrecyclingCRYEX3YD</v>
      </c>
      <c r="B138" s="61" t="s">
        <v>531</v>
      </c>
      <c r="C138" s="58" t="s">
        <v>611</v>
      </c>
      <c r="D138" s="11">
        <v>40.68</v>
      </c>
      <c r="E138" s="11">
        <v>42.709999999999994</v>
      </c>
      <c r="F138" s="11">
        <v>42.71</v>
      </c>
      <c r="G138" s="11"/>
      <c r="H138" s="13">
        <v>0</v>
      </c>
      <c r="I138" s="13">
        <v>0</v>
      </c>
      <c r="J138" s="13">
        <v>0</v>
      </c>
      <c r="K138" s="13">
        <v>0</v>
      </c>
      <c r="L138" s="13">
        <v>0</v>
      </c>
      <c r="M138" s="13">
        <v>42.71</v>
      </c>
      <c r="N138" s="13">
        <v>0</v>
      </c>
      <c r="O138" s="13">
        <v>42.71</v>
      </c>
      <c r="P138" s="13">
        <v>85.42</v>
      </c>
      <c r="Q138" s="13">
        <v>0</v>
      </c>
      <c r="R138" s="13">
        <v>42.71</v>
      </c>
      <c r="S138" s="13">
        <v>0</v>
      </c>
      <c r="T138" s="25">
        <f t="shared" si="87"/>
        <v>213.55</v>
      </c>
      <c r="V138" s="13">
        <f t="shared" si="74"/>
        <v>0</v>
      </c>
      <c r="W138" s="13">
        <f t="shared" si="75"/>
        <v>0</v>
      </c>
      <c r="X138" s="13">
        <f t="shared" si="76"/>
        <v>0</v>
      </c>
      <c r="Y138" s="13">
        <f t="shared" si="77"/>
        <v>0</v>
      </c>
      <c r="Z138" s="13">
        <f t="shared" si="78"/>
        <v>0</v>
      </c>
      <c r="AA138" s="13">
        <f t="shared" si="79"/>
        <v>1.0000000000000002</v>
      </c>
      <c r="AB138" s="13">
        <f t="shared" si="80"/>
        <v>0</v>
      </c>
      <c r="AC138" s="13">
        <f t="shared" si="81"/>
        <v>1.0000000000000002</v>
      </c>
      <c r="AD138" s="13">
        <f t="shared" si="82"/>
        <v>2.0000000000000004</v>
      </c>
      <c r="AE138" s="13">
        <f t="shared" si="83"/>
        <v>0</v>
      </c>
      <c r="AF138" s="13">
        <f t="shared" si="84"/>
        <v>1</v>
      </c>
      <c r="AG138" s="13">
        <f t="shared" si="85"/>
        <v>0</v>
      </c>
      <c r="AH138" s="15">
        <f t="shared" si="72"/>
        <v>0.41666666666666674</v>
      </c>
      <c r="AI138" s="15">
        <f t="shared" si="86"/>
        <v>5.0000000000000009</v>
      </c>
    </row>
    <row r="139" spans="1:45" ht="12" customHeight="1" x14ac:dyDescent="0.2">
      <c r="A139" s="45" t="str">
        <f t="shared" si="73"/>
        <v>allrecyclingCRYEX4YD</v>
      </c>
      <c r="B139" s="61" t="s">
        <v>532</v>
      </c>
      <c r="C139" s="58" t="s">
        <v>612</v>
      </c>
      <c r="D139" s="11">
        <v>41.5</v>
      </c>
      <c r="E139" s="11">
        <v>43.579999999999991</v>
      </c>
      <c r="F139" s="11">
        <v>43.58</v>
      </c>
      <c r="G139" s="11"/>
      <c r="H139" s="13">
        <v>41.5</v>
      </c>
      <c r="I139" s="13">
        <v>0</v>
      </c>
      <c r="J139" s="13">
        <v>118.14</v>
      </c>
      <c r="K139" s="13">
        <v>11.21</v>
      </c>
      <c r="L139" s="13">
        <v>253.04</v>
      </c>
      <c r="M139" s="13">
        <v>43.580000000000013</v>
      </c>
      <c r="N139" s="13">
        <v>43.58</v>
      </c>
      <c r="O139" s="13">
        <v>130.74</v>
      </c>
      <c r="P139" s="13">
        <v>217.9</v>
      </c>
      <c r="Q139" s="13">
        <v>0</v>
      </c>
      <c r="R139" s="13">
        <v>79.48</v>
      </c>
      <c r="S139" s="13">
        <v>35.9</v>
      </c>
      <c r="T139" s="25">
        <f t="shared" si="87"/>
        <v>975.06999999999994</v>
      </c>
      <c r="V139" s="13">
        <f t="shared" si="74"/>
        <v>1</v>
      </c>
      <c r="W139" s="13">
        <f t="shared" si="75"/>
        <v>0</v>
      </c>
      <c r="X139" s="13">
        <f t="shared" si="76"/>
        <v>2.846746987951807</v>
      </c>
      <c r="Y139" s="13">
        <f t="shared" si="77"/>
        <v>0.25722808627810928</v>
      </c>
      <c r="Z139" s="13">
        <f t="shared" si="78"/>
        <v>5.8063331803579636</v>
      </c>
      <c r="AA139" s="13">
        <f t="shared" si="79"/>
        <v>1.0000000000000004</v>
      </c>
      <c r="AB139" s="13">
        <f t="shared" si="80"/>
        <v>1.0000000000000002</v>
      </c>
      <c r="AC139" s="13">
        <f t="shared" si="81"/>
        <v>3.0000000000000009</v>
      </c>
      <c r="AD139" s="13">
        <f t="shared" si="82"/>
        <v>5.0000000000000009</v>
      </c>
      <c r="AE139" s="13">
        <f t="shared" si="83"/>
        <v>0</v>
      </c>
      <c r="AF139" s="13">
        <f t="shared" si="84"/>
        <v>1.8237723726480037</v>
      </c>
      <c r="AG139" s="13">
        <f t="shared" si="85"/>
        <v>0.82377237264800363</v>
      </c>
      <c r="AH139" s="15">
        <f t="shared" si="72"/>
        <v>1.8798210833236577</v>
      </c>
      <c r="AI139" s="15">
        <f t="shared" si="86"/>
        <v>22.557852999883892</v>
      </c>
    </row>
    <row r="140" spans="1:45" ht="12" customHeight="1" x14ac:dyDescent="0.2">
      <c r="A140" s="45" t="str">
        <f t="shared" si="73"/>
        <v>allrecyclingCRYEX5YD</v>
      </c>
      <c r="B140" s="61" t="s">
        <v>533</v>
      </c>
      <c r="C140" s="58" t="s">
        <v>613</v>
      </c>
      <c r="D140" s="11">
        <v>40.980000000000004</v>
      </c>
      <c r="E140" s="11">
        <v>43.029999999999987</v>
      </c>
      <c r="F140" s="11">
        <v>43.03</v>
      </c>
      <c r="G140" s="11"/>
      <c r="H140" s="13">
        <v>0</v>
      </c>
      <c r="I140" s="13">
        <v>0</v>
      </c>
      <c r="J140" s="13">
        <v>0</v>
      </c>
      <c r="K140" s="13">
        <v>0</v>
      </c>
      <c r="L140" s="13">
        <v>0</v>
      </c>
      <c r="M140" s="13">
        <v>0</v>
      </c>
      <c r="N140" s="13">
        <v>0</v>
      </c>
      <c r="O140" s="13">
        <v>0</v>
      </c>
      <c r="P140" s="13">
        <v>0</v>
      </c>
      <c r="Q140" s="13">
        <v>0</v>
      </c>
      <c r="R140" s="13">
        <v>0</v>
      </c>
      <c r="S140" s="13">
        <v>0</v>
      </c>
      <c r="T140" s="25">
        <f t="shared" si="87"/>
        <v>0</v>
      </c>
      <c r="V140" s="13">
        <f t="shared" si="74"/>
        <v>0</v>
      </c>
      <c r="W140" s="13">
        <f t="shared" si="75"/>
        <v>0</v>
      </c>
      <c r="X140" s="13">
        <f t="shared" si="76"/>
        <v>0</v>
      </c>
      <c r="Y140" s="13">
        <f t="shared" si="77"/>
        <v>0</v>
      </c>
      <c r="Z140" s="13">
        <f t="shared" si="78"/>
        <v>0</v>
      </c>
      <c r="AA140" s="13">
        <f t="shared" si="79"/>
        <v>0</v>
      </c>
      <c r="AB140" s="13">
        <f t="shared" si="80"/>
        <v>0</v>
      </c>
      <c r="AC140" s="13">
        <f t="shared" si="81"/>
        <v>0</v>
      </c>
      <c r="AD140" s="13">
        <f t="shared" si="82"/>
        <v>0</v>
      </c>
      <c r="AE140" s="13">
        <f t="shared" si="83"/>
        <v>0</v>
      </c>
      <c r="AF140" s="13">
        <f t="shared" si="84"/>
        <v>0</v>
      </c>
      <c r="AG140" s="13">
        <f t="shared" si="85"/>
        <v>0</v>
      </c>
      <c r="AH140" s="15">
        <f t="shared" si="72"/>
        <v>0</v>
      </c>
      <c r="AI140" s="15">
        <f t="shared" si="86"/>
        <v>0</v>
      </c>
    </row>
    <row r="141" spans="1:45" ht="12" customHeight="1" x14ac:dyDescent="0.2">
      <c r="A141" s="45" t="str">
        <f t="shared" si="73"/>
        <v>allrecyclingCRYEX6YD</v>
      </c>
      <c r="B141" s="61" t="s">
        <v>534</v>
      </c>
      <c r="C141" s="58" t="s">
        <v>614</v>
      </c>
      <c r="D141" s="11">
        <v>44.8</v>
      </c>
      <c r="E141" s="11">
        <v>47.040000000000006</v>
      </c>
      <c r="F141" s="11">
        <v>47.04</v>
      </c>
      <c r="G141" s="11"/>
      <c r="H141" s="13">
        <v>44.8</v>
      </c>
      <c r="I141" s="13">
        <v>0</v>
      </c>
      <c r="J141" s="13">
        <v>0</v>
      </c>
      <c r="K141" s="13">
        <v>67.16</v>
      </c>
      <c r="L141" s="13">
        <v>107.4</v>
      </c>
      <c r="M141" s="13">
        <v>-47.04</v>
      </c>
      <c r="N141" s="13">
        <v>47.04</v>
      </c>
      <c r="O141" s="13">
        <v>47.04</v>
      </c>
      <c r="P141" s="13">
        <v>94.08</v>
      </c>
      <c r="Q141" s="13">
        <v>47.04</v>
      </c>
      <c r="R141" s="13">
        <v>0</v>
      </c>
      <c r="S141" s="13">
        <v>141.12</v>
      </c>
      <c r="T141" s="25">
        <f t="shared" si="87"/>
        <v>548.6400000000001</v>
      </c>
      <c r="V141" s="13">
        <f t="shared" si="74"/>
        <v>1</v>
      </c>
      <c r="W141" s="13">
        <f t="shared" si="75"/>
        <v>0</v>
      </c>
      <c r="X141" s="13">
        <f t="shared" si="76"/>
        <v>0</v>
      </c>
      <c r="Y141" s="13">
        <f t="shared" si="77"/>
        <v>1.4277210884353739</v>
      </c>
      <c r="Z141" s="13">
        <f t="shared" si="78"/>
        <v>2.2831632653061225</v>
      </c>
      <c r="AA141" s="13">
        <f t="shared" si="79"/>
        <v>-0.99999999999999989</v>
      </c>
      <c r="AB141" s="13">
        <f t="shared" si="80"/>
        <v>0.99999999999999989</v>
      </c>
      <c r="AC141" s="13">
        <f t="shared" si="81"/>
        <v>0.99999999999999989</v>
      </c>
      <c r="AD141" s="13">
        <f t="shared" si="82"/>
        <v>1.9999999999999998</v>
      </c>
      <c r="AE141" s="13">
        <f t="shared" si="83"/>
        <v>1</v>
      </c>
      <c r="AF141" s="13">
        <f t="shared" si="84"/>
        <v>0</v>
      </c>
      <c r="AG141" s="13">
        <f t="shared" si="85"/>
        <v>3</v>
      </c>
      <c r="AH141" s="15">
        <f t="shared" si="72"/>
        <v>0.97590702947845809</v>
      </c>
      <c r="AI141" s="15">
        <f t="shared" si="86"/>
        <v>11.710884353741497</v>
      </c>
    </row>
    <row r="142" spans="1:45" ht="12" customHeight="1" x14ac:dyDescent="0.2">
      <c r="A142" s="45" t="str">
        <f t="shared" si="73"/>
        <v>allrecyclingCRYEX8YD</v>
      </c>
      <c r="B142" s="61" t="s">
        <v>535</v>
      </c>
      <c r="C142" s="58" t="s">
        <v>615</v>
      </c>
      <c r="D142" s="11">
        <v>46.540000000000006</v>
      </c>
      <c r="E142" s="11">
        <v>48.87</v>
      </c>
      <c r="F142" s="11">
        <v>48.87</v>
      </c>
      <c r="G142" s="11"/>
      <c r="H142" s="13">
        <v>0</v>
      </c>
      <c r="I142" s="13">
        <v>0</v>
      </c>
      <c r="J142" s="13">
        <v>0</v>
      </c>
      <c r="K142" s="13">
        <v>42.88</v>
      </c>
      <c r="L142" s="13">
        <v>378.98</v>
      </c>
      <c r="M142" s="13">
        <v>-54.859999999999992</v>
      </c>
      <c r="N142" s="13">
        <v>0</v>
      </c>
      <c r="O142" s="13">
        <v>0</v>
      </c>
      <c r="P142" s="13">
        <v>48.87</v>
      </c>
      <c r="Q142" s="13">
        <v>0</v>
      </c>
      <c r="R142" s="13">
        <v>0</v>
      </c>
      <c r="S142" s="13">
        <v>0</v>
      </c>
      <c r="T142" s="25">
        <f t="shared" si="87"/>
        <v>415.87</v>
      </c>
      <c r="V142" s="13">
        <f t="shared" si="74"/>
        <v>0</v>
      </c>
      <c r="W142" s="13">
        <f t="shared" si="75"/>
        <v>0</v>
      </c>
      <c r="X142" s="13">
        <f t="shared" si="76"/>
        <v>0</v>
      </c>
      <c r="Y142" s="13">
        <f t="shared" si="77"/>
        <v>0.87742991610394938</v>
      </c>
      <c r="Z142" s="13">
        <f t="shared" si="78"/>
        <v>7.7548598322078997</v>
      </c>
      <c r="AA142" s="13">
        <f t="shared" si="79"/>
        <v>-1.1225700838960506</v>
      </c>
      <c r="AB142" s="13">
        <f t="shared" si="80"/>
        <v>0</v>
      </c>
      <c r="AC142" s="13">
        <f t="shared" si="81"/>
        <v>0</v>
      </c>
      <c r="AD142" s="13">
        <f t="shared" si="82"/>
        <v>1</v>
      </c>
      <c r="AE142" s="13">
        <f t="shared" si="83"/>
        <v>0</v>
      </c>
      <c r="AF142" s="13">
        <f t="shared" si="84"/>
        <v>0</v>
      </c>
      <c r="AG142" s="13">
        <f t="shared" si="85"/>
        <v>0</v>
      </c>
      <c r="AH142" s="15">
        <f t="shared" si="72"/>
        <v>0.70914330536798309</v>
      </c>
      <c r="AI142" s="15">
        <f t="shared" si="86"/>
        <v>8.5097196644157975</v>
      </c>
    </row>
    <row r="143" spans="1:45" ht="12" customHeight="1" x14ac:dyDescent="0.2">
      <c r="A143" s="45" t="str">
        <f>"Schools"&amp;"recycling"&amp;B143</f>
        <v>SchoolsrecyclingSCHX</v>
      </c>
      <c r="B143" s="61" t="s">
        <v>1026</v>
      </c>
      <c r="C143" s="58" t="s">
        <v>1027</v>
      </c>
      <c r="D143" s="11">
        <v>9.08</v>
      </c>
      <c r="E143" s="11">
        <v>9.08</v>
      </c>
      <c r="F143" s="11">
        <v>9.08</v>
      </c>
      <c r="G143" s="11"/>
      <c r="H143" s="13">
        <v>0</v>
      </c>
      <c r="I143" s="13">
        <v>0</v>
      </c>
      <c r="J143" s="13">
        <v>109</v>
      </c>
      <c r="K143" s="13">
        <v>0</v>
      </c>
      <c r="L143" s="13">
        <v>152.60000000000002</v>
      </c>
      <c r="M143" s="13">
        <v>21.8</v>
      </c>
      <c r="N143" s="13">
        <v>0</v>
      </c>
      <c r="O143" s="13">
        <v>0</v>
      </c>
      <c r="P143" s="13">
        <v>0</v>
      </c>
      <c r="Q143" s="13">
        <v>0</v>
      </c>
      <c r="R143" s="13">
        <v>0</v>
      </c>
      <c r="S143" s="13">
        <v>0</v>
      </c>
      <c r="T143" s="25">
        <f t="shared" si="87"/>
        <v>283.40000000000003</v>
      </c>
      <c r="V143" s="13">
        <f t="shared" si="74"/>
        <v>0</v>
      </c>
      <c r="W143" s="13">
        <f t="shared" si="75"/>
        <v>0</v>
      </c>
      <c r="X143" s="13">
        <f t="shared" si="76"/>
        <v>12.004405286343612</v>
      </c>
      <c r="Y143" s="13">
        <f t="shared" si="77"/>
        <v>0</v>
      </c>
      <c r="Z143" s="13">
        <f t="shared" si="78"/>
        <v>16.806167400881058</v>
      </c>
      <c r="AA143" s="13">
        <f t="shared" si="79"/>
        <v>2.4008810572687227</v>
      </c>
      <c r="AB143" s="13">
        <f t="shared" si="80"/>
        <v>0</v>
      </c>
      <c r="AC143" s="13">
        <f t="shared" si="81"/>
        <v>0</v>
      </c>
      <c r="AD143" s="13">
        <f t="shared" si="82"/>
        <v>0</v>
      </c>
      <c r="AE143" s="13">
        <f t="shared" si="83"/>
        <v>0</v>
      </c>
      <c r="AF143" s="13">
        <f t="shared" si="84"/>
        <v>0</v>
      </c>
      <c r="AG143" s="13">
        <f t="shared" si="85"/>
        <v>0</v>
      </c>
      <c r="AH143" s="15">
        <f t="shared" si="72"/>
        <v>2.600954478707783</v>
      </c>
      <c r="AI143" s="15">
        <f t="shared" si="86"/>
        <v>31.211453744493394</v>
      </c>
    </row>
    <row r="144" spans="1:45" ht="12" customHeight="1" x14ac:dyDescent="0.2">
      <c r="A144" s="45" t="str">
        <f>"food"&amp;"recycling"&amp;B144</f>
        <v>foodrecyclingMFPAIL</v>
      </c>
      <c r="B144" s="61" t="s">
        <v>498</v>
      </c>
      <c r="C144" s="58" t="s">
        <v>1032</v>
      </c>
      <c r="D144" s="11">
        <v>4.88</v>
      </c>
      <c r="E144" s="11">
        <v>5.12</v>
      </c>
      <c r="F144" s="11">
        <v>5.12</v>
      </c>
      <c r="G144" s="11"/>
      <c r="H144" s="13">
        <v>0</v>
      </c>
      <c r="I144" s="13">
        <v>0</v>
      </c>
      <c r="J144" s="13">
        <v>0</v>
      </c>
      <c r="K144" s="13">
        <v>0</v>
      </c>
      <c r="L144" s="13">
        <v>0</v>
      </c>
      <c r="M144" s="13">
        <v>40.96</v>
      </c>
      <c r="N144" s="13">
        <v>0</v>
      </c>
      <c r="O144" s="13">
        <v>0</v>
      </c>
      <c r="P144" s="13">
        <v>0</v>
      </c>
      <c r="Q144" s="13">
        <v>0</v>
      </c>
      <c r="R144" s="13">
        <v>0</v>
      </c>
      <c r="S144" s="13">
        <v>0</v>
      </c>
      <c r="T144" s="25">
        <f t="shared" si="87"/>
        <v>40.96</v>
      </c>
      <c r="V144" s="13">
        <f t="shared" si="74"/>
        <v>0</v>
      </c>
      <c r="W144" s="13">
        <f t="shared" si="75"/>
        <v>0</v>
      </c>
      <c r="X144" s="13">
        <f t="shared" si="76"/>
        <v>0</v>
      </c>
      <c r="Y144" s="13">
        <f t="shared" si="77"/>
        <v>0</v>
      </c>
      <c r="Z144" s="13">
        <f t="shared" si="78"/>
        <v>0</v>
      </c>
      <c r="AA144" s="13">
        <f t="shared" si="79"/>
        <v>8</v>
      </c>
      <c r="AB144" s="13">
        <f t="shared" si="80"/>
        <v>0</v>
      </c>
      <c r="AC144" s="13">
        <f t="shared" si="81"/>
        <v>0</v>
      </c>
      <c r="AD144" s="13">
        <f t="shared" si="82"/>
        <v>0</v>
      </c>
      <c r="AE144" s="13">
        <f t="shared" si="83"/>
        <v>0</v>
      </c>
      <c r="AF144" s="13">
        <f t="shared" si="84"/>
        <v>0</v>
      </c>
      <c r="AG144" s="13">
        <f t="shared" si="85"/>
        <v>0</v>
      </c>
      <c r="AH144" s="15">
        <f t="shared" si="72"/>
        <v>0.66666666666666663</v>
      </c>
      <c r="AI144" s="15">
        <f t="shared" si="86"/>
        <v>8</v>
      </c>
    </row>
    <row r="145" spans="1:35" ht="12" customHeight="1" x14ac:dyDescent="0.2">
      <c r="A145" s="45" t="str">
        <f t="shared" si="65"/>
        <v>allrecycling0CRYEX1.5YD</v>
      </c>
      <c r="B145" s="61" t="s">
        <v>499</v>
      </c>
      <c r="C145" s="58" t="s">
        <v>581</v>
      </c>
      <c r="D145" s="11">
        <v>33.18</v>
      </c>
      <c r="E145" s="11">
        <v>34.839999999999996</v>
      </c>
      <c r="F145" s="11">
        <v>34.840000000000003</v>
      </c>
      <c r="G145" s="11"/>
      <c r="H145" s="13">
        <v>0</v>
      </c>
      <c r="I145" s="13">
        <v>0</v>
      </c>
      <c r="J145" s="13">
        <v>0</v>
      </c>
      <c r="K145" s="13">
        <v>0</v>
      </c>
      <c r="L145" s="13">
        <v>0</v>
      </c>
      <c r="M145" s="13">
        <v>0</v>
      </c>
      <c r="N145" s="13">
        <v>0</v>
      </c>
      <c r="O145" s="13">
        <v>0</v>
      </c>
      <c r="P145" s="13">
        <v>34.840000000000003</v>
      </c>
      <c r="Q145" s="13">
        <v>34.840000000000003</v>
      </c>
      <c r="R145" s="13">
        <v>174.20000000000002</v>
      </c>
      <c r="S145" s="13">
        <v>0</v>
      </c>
      <c r="T145" s="25">
        <f t="shared" si="87"/>
        <v>243.88000000000002</v>
      </c>
      <c r="V145" s="13">
        <f t="shared" si="74"/>
        <v>0</v>
      </c>
      <c r="W145" s="13">
        <f t="shared" si="75"/>
        <v>0</v>
      </c>
      <c r="X145" s="13">
        <f t="shared" si="76"/>
        <v>0</v>
      </c>
      <c r="Y145" s="13">
        <f t="shared" si="77"/>
        <v>0</v>
      </c>
      <c r="Z145" s="13">
        <f t="shared" si="78"/>
        <v>0</v>
      </c>
      <c r="AA145" s="13">
        <f t="shared" si="79"/>
        <v>0</v>
      </c>
      <c r="AB145" s="13">
        <f t="shared" si="80"/>
        <v>0</v>
      </c>
      <c r="AC145" s="13">
        <f t="shared" si="81"/>
        <v>0</v>
      </c>
      <c r="AD145" s="13">
        <f t="shared" si="82"/>
        <v>1.0000000000000002</v>
      </c>
      <c r="AE145" s="13">
        <f t="shared" si="83"/>
        <v>1</v>
      </c>
      <c r="AF145" s="13">
        <f t="shared" si="84"/>
        <v>5</v>
      </c>
      <c r="AG145" s="13">
        <f t="shared" si="85"/>
        <v>0</v>
      </c>
      <c r="AH145" s="15">
        <f t="shared" si="72"/>
        <v>0.58333333333333337</v>
      </c>
      <c r="AI145" s="15">
        <f t="shared" si="86"/>
        <v>7</v>
      </c>
    </row>
    <row r="146" spans="1:35" ht="12" customHeight="1" x14ac:dyDescent="0.2">
      <c r="A146" s="45" t="str">
        <f t="shared" si="65"/>
        <v>allrecycling0CRYEX90</v>
      </c>
      <c r="B146" s="61" t="s">
        <v>500</v>
      </c>
      <c r="C146" s="58" t="s">
        <v>582</v>
      </c>
      <c r="D146" s="11">
        <v>24.9</v>
      </c>
      <c r="E146" s="11">
        <v>26.150000000000002</v>
      </c>
      <c r="F146" s="11">
        <v>26.15</v>
      </c>
      <c r="G146" s="11"/>
      <c r="H146" s="13">
        <v>74.699999999999989</v>
      </c>
      <c r="I146" s="13">
        <v>74.699999999999989</v>
      </c>
      <c r="J146" s="13">
        <v>99.6</v>
      </c>
      <c r="K146" s="13">
        <v>209.20000000000002</v>
      </c>
      <c r="L146" s="13">
        <v>0</v>
      </c>
      <c r="M146" s="13">
        <v>156.89999999999998</v>
      </c>
      <c r="N146" s="13">
        <v>130.75</v>
      </c>
      <c r="O146" s="13">
        <v>156.89999999999998</v>
      </c>
      <c r="P146" s="13">
        <v>156.89999999999998</v>
      </c>
      <c r="Q146" s="13">
        <v>209.20000000000002</v>
      </c>
      <c r="R146" s="13">
        <v>209.2</v>
      </c>
      <c r="S146" s="13">
        <v>104.6</v>
      </c>
      <c r="T146" s="25">
        <f t="shared" si="87"/>
        <v>1582.6499999999999</v>
      </c>
      <c r="V146" s="13">
        <f t="shared" si="74"/>
        <v>2.9999999999999996</v>
      </c>
      <c r="W146" s="13">
        <f t="shared" si="75"/>
        <v>2.9999999999999996</v>
      </c>
      <c r="X146" s="13">
        <f t="shared" si="76"/>
        <v>4</v>
      </c>
      <c r="Y146" s="13">
        <f t="shared" si="77"/>
        <v>8</v>
      </c>
      <c r="Z146" s="13">
        <f t="shared" si="78"/>
        <v>0</v>
      </c>
      <c r="AA146" s="13">
        <f t="shared" si="79"/>
        <v>5.9999999999999982</v>
      </c>
      <c r="AB146" s="13">
        <f t="shared" si="80"/>
        <v>5</v>
      </c>
      <c r="AC146" s="13">
        <f t="shared" si="81"/>
        <v>5.9999999999999982</v>
      </c>
      <c r="AD146" s="13">
        <f t="shared" si="82"/>
        <v>5.9999999999999982</v>
      </c>
      <c r="AE146" s="13">
        <f t="shared" si="83"/>
        <v>8.0000000000000018</v>
      </c>
      <c r="AF146" s="13">
        <f t="shared" si="84"/>
        <v>8</v>
      </c>
      <c r="AG146" s="13">
        <f t="shared" si="85"/>
        <v>4</v>
      </c>
      <c r="AH146" s="15">
        <f t="shared" si="72"/>
        <v>5.083333333333333</v>
      </c>
      <c r="AI146" s="15">
        <f t="shared" si="86"/>
        <v>61</v>
      </c>
    </row>
    <row r="147" spans="1:35" ht="12" customHeight="1" x14ac:dyDescent="0.2">
      <c r="A147" s="45" t="str">
        <f t="shared" si="65"/>
        <v>allrecycling0CRYEX1YD</v>
      </c>
      <c r="B147" s="61" t="s">
        <v>501</v>
      </c>
      <c r="C147" s="58" t="s">
        <v>583</v>
      </c>
      <c r="D147" s="11">
        <v>33.18</v>
      </c>
      <c r="E147" s="11">
        <v>34.839999999999996</v>
      </c>
      <c r="F147" s="11">
        <v>34.840000000000003</v>
      </c>
      <c r="G147" s="11"/>
      <c r="H147" s="13">
        <v>99.539999999999992</v>
      </c>
      <c r="I147" s="13">
        <v>0</v>
      </c>
      <c r="J147" s="13">
        <v>132.72</v>
      </c>
      <c r="K147" s="13">
        <v>1.6600000000000037</v>
      </c>
      <c r="L147" s="13">
        <v>0</v>
      </c>
      <c r="M147" s="13">
        <v>104.52000000000001</v>
      </c>
      <c r="N147" s="13">
        <v>34.840000000000003</v>
      </c>
      <c r="O147" s="13">
        <v>69.680000000000007</v>
      </c>
      <c r="P147" s="13">
        <v>34.840000000000003</v>
      </c>
      <c r="Q147" s="13">
        <v>104.52000000000001</v>
      </c>
      <c r="R147" s="13">
        <v>34.840000000000003</v>
      </c>
      <c r="S147" s="13">
        <v>-34.840000000000003</v>
      </c>
      <c r="T147" s="25">
        <f t="shared" si="87"/>
        <v>582.31999999999994</v>
      </c>
      <c r="V147" s="13">
        <f t="shared" si="74"/>
        <v>3</v>
      </c>
      <c r="W147" s="13">
        <f t="shared" si="75"/>
        <v>0</v>
      </c>
      <c r="X147" s="13">
        <f t="shared" si="76"/>
        <v>4</v>
      </c>
      <c r="Y147" s="13">
        <f t="shared" si="77"/>
        <v>4.7646383467279098E-2</v>
      </c>
      <c r="Z147" s="13">
        <f t="shared" si="78"/>
        <v>0</v>
      </c>
      <c r="AA147" s="13">
        <f t="shared" si="79"/>
        <v>3.0000000000000004</v>
      </c>
      <c r="AB147" s="13">
        <f t="shared" si="80"/>
        <v>1.0000000000000002</v>
      </c>
      <c r="AC147" s="13">
        <f t="shared" si="81"/>
        <v>2.0000000000000004</v>
      </c>
      <c r="AD147" s="13">
        <f t="shared" si="82"/>
        <v>1.0000000000000002</v>
      </c>
      <c r="AE147" s="13">
        <f t="shared" si="83"/>
        <v>3</v>
      </c>
      <c r="AF147" s="13">
        <f t="shared" si="84"/>
        <v>1</v>
      </c>
      <c r="AG147" s="13">
        <f t="shared" si="85"/>
        <v>-1</v>
      </c>
      <c r="AH147" s="15">
        <f t="shared" si="72"/>
        <v>1.4206371986222734</v>
      </c>
      <c r="AI147" s="15">
        <f t="shared" si="86"/>
        <v>17.047646383467281</v>
      </c>
    </row>
    <row r="148" spans="1:35" ht="12" customHeight="1" x14ac:dyDescent="0.2">
      <c r="A148" s="45" t="str">
        <f t="shared" si="65"/>
        <v>allrecycling0CRY1.5OC</v>
      </c>
      <c r="B148" s="61" t="s">
        <v>1075</v>
      </c>
      <c r="C148" s="58" t="s">
        <v>590</v>
      </c>
      <c r="D148" s="11">
        <v>40.119999999999997</v>
      </c>
      <c r="E148" s="11">
        <v>42.129999999999995</v>
      </c>
      <c r="F148" s="11">
        <v>42.13</v>
      </c>
      <c r="G148" s="11"/>
      <c r="H148" s="13">
        <v>0</v>
      </c>
      <c r="I148" s="13">
        <v>0</v>
      </c>
      <c r="J148" s="13">
        <v>0</v>
      </c>
      <c r="K148" s="13">
        <v>0</v>
      </c>
      <c r="L148" s="13">
        <v>0</v>
      </c>
      <c r="M148" s="13">
        <v>0</v>
      </c>
      <c r="N148" s="13">
        <v>0</v>
      </c>
      <c r="O148" s="13">
        <v>0</v>
      </c>
      <c r="P148" s="13">
        <v>0</v>
      </c>
      <c r="Q148" s="13">
        <v>0</v>
      </c>
      <c r="R148" s="13">
        <v>0</v>
      </c>
      <c r="S148" s="13">
        <v>0</v>
      </c>
      <c r="T148" s="25">
        <f t="shared" si="87"/>
        <v>0</v>
      </c>
      <c r="V148" s="13">
        <f t="shared" si="74"/>
        <v>0</v>
      </c>
      <c r="W148" s="13">
        <f t="shared" si="75"/>
        <v>0</v>
      </c>
      <c r="X148" s="13">
        <f t="shared" si="76"/>
        <v>0</v>
      </c>
      <c r="Y148" s="13">
        <f t="shared" si="77"/>
        <v>0</v>
      </c>
      <c r="Z148" s="13">
        <f t="shared" si="78"/>
        <v>0</v>
      </c>
      <c r="AA148" s="13">
        <f t="shared" si="79"/>
        <v>0</v>
      </c>
      <c r="AB148" s="13">
        <f t="shared" si="80"/>
        <v>0</v>
      </c>
      <c r="AC148" s="13">
        <f t="shared" si="81"/>
        <v>0</v>
      </c>
      <c r="AD148" s="13">
        <f t="shared" si="82"/>
        <v>0</v>
      </c>
      <c r="AE148" s="13">
        <f t="shared" si="83"/>
        <v>0</v>
      </c>
      <c r="AF148" s="13">
        <f t="shared" si="84"/>
        <v>0</v>
      </c>
      <c r="AG148" s="13">
        <f t="shared" si="85"/>
        <v>0</v>
      </c>
      <c r="AH148" s="15">
        <f t="shared" si="72"/>
        <v>0</v>
      </c>
      <c r="AI148" s="15">
        <f t="shared" si="86"/>
        <v>0</v>
      </c>
    </row>
    <row r="149" spans="1:35" ht="12" customHeight="1" x14ac:dyDescent="0.2">
      <c r="A149" s="45" t="str">
        <f>"all"&amp;"recycling"&amp;B149</f>
        <v>allrecycling0CRY2YOC</v>
      </c>
      <c r="B149" s="61" t="s">
        <v>1074</v>
      </c>
      <c r="C149" s="58" t="s">
        <v>591</v>
      </c>
      <c r="D149" s="11">
        <v>42.99</v>
      </c>
      <c r="E149" s="11">
        <v>45.139999999999993</v>
      </c>
      <c r="F149" s="11">
        <v>45.14</v>
      </c>
      <c r="G149" s="11"/>
      <c r="H149" s="13">
        <v>0</v>
      </c>
      <c r="I149" s="13">
        <v>0</v>
      </c>
      <c r="J149" s="13">
        <v>0</v>
      </c>
      <c r="K149" s="13">
        <v>0</v>
      </c>
      <c r="L149" s="13">
        <v>0</v>
      </c>
      <c r="M149" s="13">
        <v>0</v>
      </c>
      <c r="N149" s="13">
        <v>0</v>
      </c>
      <c r="O149" s="13">
        <v>0</v>
      </c>
      <c r="P149" s="13">
        <v>0</v>
      </c>
      <c r="Q149" s="13">
        <v>0</v>
      </c>
      <c r="R149" s="13">
        <v>0</v>
      </c>
      <c r="S149" s="13">
        <v>0</v>
      </c>
      <c r="T149" s="25">
        <f t="shared" si="87"/>
        <v>0</v>
      </c>
      <c r="V149" s="13">
        <f t="shared" si="74"/>
        <v>0</v>
      </c>
      <c r="W149" s="13">
        <f t="shared" si="75"/>
        <v>0</v>
      </c>
      <c r="X149" s="13">
        <f t="shared" si="76"/>
        <v>0</v>
      </c>
      <c r="Y149" s="13">
        <f t="shared" si="77"/>
        <v>0</v>
      </c>
      <c r="Z149" s="13">
        <f t="shared" si="78"/>
        <v>0</v>
      </c>
      <c r="AA149" s="13">
        <f t="shared" si="79"/>
        <v>0</v>
      </c>
      <c r="AB149" s="13">
        <f t="shared" si="80"/>
        <v>0</v>
      </c>
      <c r="AC149" s="13">
        <f t="shared" si="81"/>
        <v>0</v>
      </c>
      <c r="AD149" s="13">
        <f t="shared" si="82"/>
        <v>0</v>
      </c>
      <c r="AE149" s="13">
        <f t="shared" si="83"/>
        <v>0</v>
      </c>
      <c r="AF149" s="13">
        <f t="shared" si="84"/>
        <v>0</v>
      </c>
      <c r="AG149" s="13">
        <f t="shared" si="85"/>
        <v>0</v>
      </c>
      <c r="AH149" s="15">
        <f t="shared" si="72"/>
        <v>0</v>
      </c>
      <c r="AI149" s="15">
        <f t="shared" si="86"/>
        <v>0</v>
      </c>
    </row>
    <row r="150" spans="1:35" ht="12" customHeight="1" x14ac:dyDescent="0.2">
      <c r="A150" s="45" t="str">
        <f t="shared" si="65"/>
        <v>allrecycling0CRYEX2YD</v>
      </c>
      <c r="B150" s="61" t="s">
        <v>502</v>
      </c>
      <c r="C150" s="58" t="s">
        <v>584</v>
      </c>
      <c r="D150" s="11">
        <v>36.519999999999996</v>
      </c>
      <c r="E150" s="11">
        <v>38.35</v>
      </c>
      <c r="F150" s="11">
        <v>38.35</v>
      </c>
      <c r="G150" s="11"/>
      <c r="H150" s="13">
        <v>181.61</v>
      </c>
      <c r="I150" s="13">
        <v>219.11999999999998</v>
      </c>
      <c r="J150" s="13">
        <v>108.57</v>
      </c>
      <c r="K150" s="13">
        <v>305.76000000000005</v>
      </c>
      <c r="L150" s="13">
        <v>342.03</v>
      </c>
      <c r="M150" s="13">
        <v>153.4</v>
      </c>
      <c r="N150" s="13">
        <v>191.75</v>
      </c>
      <c r="O150" s="13">
        <v>191.75</v>
      </c>
      <c r="P150" s="13">
        <v>268.45</v>
      </c>
      <c r="Q150" s="13">
        <v>230.1</v>
      </c>
      <c r="R150" s="13">
        <v>153.4</v>
      </c>
      <c r="S150" s="13">
        <v>230.1</v>
      </c>
      <c r="T150" s="25">
        <f t="shared" si="87"/>
        <v>2576.0400000000004</v>
      </c>
      <c r="V150" s="13">
        <f t="shared" si="74"/>
        <v>4.9728915662650612</v>
      </c>
      <c r="W150" s="13">
        <f t="shared" si="75"/>
        <v>6</v>
      </c>
      <c r="X150" s="13">
        <f t="shared" si="76"/>
        <v>2.9728915662650603</v>
      </c>
      <c r="Y150" s="13">
        <f t="shared" si="77"/>
        <v>7.9728813559322047</v>
      </c>
      <c r="Z150" s="13">
        <f t="shared" si="78"/>
        <v>8.9186440677966097</v>
      </c>
      <c r="AA150" s="13">
        <f t="shared" si="79"/>
        <v>4</v>
      </c>
      <c r="AB150" s="13">
        <f t="shared" si="80"/>
        <v>5</v>
      </c>
      <c r="AC150" s="13">
        <f t="shared" si="81"/>
        <v>5</v>
      </c>
      <c r="AD150" s="13">
        <f t="shared" si="82"/>
        <v>6.9999999999999991</v>
      </c>
      <c r="AE150" s="13">
        <f t="shared" si="83"/>
        <v>6</v>
      </c>
      <c r="AF150" s="13">
        <f t="shared" si="84"/>
        <v>4</v>
      </c>
      <c r="AG150" s="13">
        <f t="shared" si="85"/>
        <v>6</v>
      </c>
      <c r="AH150" s="15">
        <f t="shared" si="72"/>
        <v>5.6531090463549107</v>
      </c>
      <c r="AI150" s="15">
        <f t="shared" si="86"/>
        <v>67.837308556258932</v>
      </c>
    </row>
    <row r="151" spans="1:35" ht="12" customHeight="1" x14ac:dyDescent="0.2">
      <c r="A151" s="45" t="str">
        <f t="shared" si="65"/>
        <v>allrecycling0CRYEX3YD</v>
      </c>
      <c r="B151" s="61" t="s">
        <v>503</v>
      </c>
      <c r="C151" s="58" t="s">
        <v>585</v>
      </c>
      <c r="D151" s="11">
        <v>40.68</v>
      </c>
      <c r="E151" s="11">
        <v>42.709999999999994</v>
      </c>
      <c r="F151" s="11">
        <v>42.71</v>
      </c>
      <c r="G151" s="11"/>
      <c r="H151" s="13">
        <v>203.4</v>
      </c>
      <c r="I151" s="13">
        <v>284.76</v>
      </c>
      <c r="J151" s="13">
        <v>162.72</v>
      </c>
      <c r="K151" s="13">
        <v>128.13</v>
      </c>
      <c r="L151" s="13">
        <v>213.55</v>
      </c>
      <c r="M151" s="13">
        <v>85.42</v>
      </c>
      <c r="N151" s="13">
        <v>128.13</v>
      </c>
      <c r="O151" s="13">
        <v>128.13</v>
      </c>
      <c r="P151" s="13">
        <v>256.26</v>
      </c>
      <c r="Q151" s="13">
        <v>128.13</v>
      </c>
      <c r="R151" s="13">
        <v>170.84</v>
      </c>
      <c r="S151" s="13">
        <v>128.13</v>
      </c>
      <c r="T151" s="25">
        <f t="shared" si="87"/>
        <v>2017.6</v>
      </c>
      <c r="V151" s="13">
        <f t="shared" si="74"/>
        <v>5</v>
      </c>
      <c r="W151" s="13">
        <f t="shared" si="75"/>
        <v>7</v>
      </c>
      <c r="X151" s="13">
        <f t="shared" si="76"/>
        <v>4</v>
      </c>
      <c r="Y151" s="13">
        <f t="shared" si="77"/>
        <v>3.0000000000000004</v>
      </c>
      <c r="Z151" s="13">
        <f t="shared" si="78"/>
        <v>5.0000000000000009</v>
      </c>
      <c r="AA151" s="13">
        <f t="shared" si="79"/>
        <v>2.0000000000000004</v>
      </c>
      <c r="AB151" s="13">
        <f t="shared" si="80"/>
        <v>3.0000000000000004</v>
      </c>
      <c r="AC151" s="13">
        <f t="shared" si="81"/>
        <v>3.0000000000000004</v>
      </c>
      <c r="AD151" s="13">
        <f t="shared" si="82"/>
        <v>6.0000000000000009</v>
      </c>
      <c r="AE151" s="13">
        <f t="shared" si="83"/>
        <v>3</v>
      </c>
      <c r="AF151" s="13">
        <f t="shared" si="84"/>
        <v>4</v>
      </c>
      <c r="AG151" s="13">
        <f t="shared" si="85"/>
        <v>3</v>
      </c>
      <c r="AH151" s="15">
        <f t="shared" si="72"/>
        <v>4</v>
      </c>
      <c r="AI151" s="15">
        <f t="shared" si="86"/>
        <v>48</v>
      </c>
    </row>
    <row r="152" spans="1:35" ht="12" customHeight="1" x14ac:dyDescent="0.2">
      <c r="A152" s="45" t="str">
        <f t="shared" si="65"/>
        <v>allrecycling0CRYEX4YD</v>
      </c>
      <c r="B152" s="61" t="s">
        <v>504</v>
      </c>
      <c r="C152" s="58" t="s">
        <v>586</v>
      </c>
      <c r="D152" s="11">
        <v>41.5</v>
      </c>
      <c r="E152" s="11">
        <v>43.579999999999991</v>
      </c>
      <c r="F152" s="11">
        <v>43.58</v>
      </c>
      <c r="G152" s="11"/>
      <c r="H152" s="13">
        <v>41.5</v>
      </c>
      <c r="I152" s="13">
        <v>124.5</v>
      </c>
      <c r="J152" s="13">
        <v>0</v>
      </c>
      <c r="K152" s="13">
        <v>43.58</v>
      </c>
      <c r="L152" s="13">
        <v>130.74</v>
      </c>
      <c r="M152" s="13">
        <v>-87.16</v>
      </c>
      <c r="N152" s="13">
        <v>0</v>
      </c>
      <c r="O152" s="13">
        <v>130.74</v>
      </c>
      <c r="P152" s="13">
        <v>0</v>
      </c>
      <c r="Q152" s="13">
        <v>174.32</v>
      </c>
      <c r="R152" s="13">
        <v>43.58</v>
      </c>
      <c r="S152" s="13">
        <v>130.74</v>
      </c>
      <c r="T152" s="25">
        <f t="shared" si="87"/>
        <v>732.54000000000008</v>
      </c>
      <c r="V152" s="13">
        <f t="shared" si="74"/>
        <v>1</v>
      </c>
      <c r="W152" s="13">
        <f t="shared" si="75"/>
        <v>3</v>
      </c>
      <c r="X152" s="13">
        <f t="shared" si="76"/>
        <v>0</v>
      </c>
      <c r="Y152" s="13">
        <f t="shared" si="77"/>
        <v>1.0000000000000002</v>
      </c>
      <c r="Z152" s="13">
        <f t="shared" si="78"/>
        <v>3.0000000000000009</v>
      </c>
      <c r="AA152" s="13">
        <f t="shared" si="79"/>
        <v>-2.0000000000000004</v>
      </c>
      <c r="AB152" s="13">
        <f t="shared" si="80"/>
        <v>0</v>
      </c>
      <c r="AC152" s="13">
        <f t="shared" si="81"/>
        <v>3.0000000000000009</v>
      </c>
      <c r="AD152" s="13">
        <f t="shared" si="82"/>
        <v>0</v>
      </c>
      <c r="AE152" s="13">
        <f t="shared" si="83"/>
        <v>4</v>
      </c>
      <c r="AF152" s="13">
        <f t="shared" si="84"/>
        <v>1</v>
      </c>
      <c r="AG152" s="13">
        <f t="shared" si="85"/>
        <v>3.0000000000000004</v>
      </c>
      <c r="AH152" s="15">
        <f t="shared" si="72"/>
        <v>1.4166666666666667</v>
      </c>
      <c r="AI152" s="15">
        <f t="shared" si="86"/>
        <v>17</v>
      </c>
    </row>
    <row r="153" spans="1:35" ht="12" customHeight="1" x14ac:dyDescent="0.2">
      <c r="A153" s="45" t="str">
        <f t="shared" si="65"/>
        <v>allrecycling0CRYEX5YD</v>
      </c>
      <c r="B153" s="61" t="s">
        <v>505</v>
      </c>
      <c r="C153" s="58" t="s">
        <v>587</v>
      </c>
      <c r="D153" s="11">
        <v>40.980000000000004</v>
      </c>
      <c r="E153" s="11">
        <v>43.029999999999987</v>
      </c>
      <c r="F153" s="11">
        <v>43.03</v>
      </c>
      <c r="G153" s="11"/>
      <c r="H153" s="13">
        <v>0</v>
      </c>
      <c r="I153" s="13">
        <v>0</v>
      </c>
      <c r="J153" s="13">
        <v>0</v>
      </c>
      <c r="K153" s="13">
        <v>0</v>
      </c>
      <c r="L153" s="13">
        <v>43.03</v>
      </c>
      <c r="M153" s="13">
        <v>0</v>
      </c>
      <c r="N153" s="13">
        <v>0</v>
      </c>
      <c r="O153" s="13">
        <v>0</v>
      </c>
      <c r="P153" s="13">
        <v>0</v>
      </c>
      <c r="Q153" s="13">
        <v>0</v>
      </c>
      <c r="R153" s="13">
        <v>0</v>
      </c>
      <c r="S153" s="13">
        <v>0</v>
      </c>
      <c r="T153" s="25">
        <f t="shared" si="87"/>
        <v>43.03</v>
      </c>
      <c r="V153" s="13">
        <f t="shared" si="74"/>
        <v>0</v>
      </c>
      <c r="W153" s="13">
        <f t="shared" si="75"/>
        <v>0</v>
      </c>
      <c r="X153" s="13">
        <f t="shared" si="76"/>
        <v>0</v>
      </c>
      <c r="Y153" s="13">
        <f t="shared" si="77"/>
        <v>0</v>
      </c>
      <c r="Z153" s="13">
        <f t="shared" si="78"/>
        <v>1.0000000000000002</v>
      </c>
      <c r="AA153" s="13">
        <f t="shared" si="79"/>
        <v>0</v>
      </c>
      <c r="AB153" s="13">
        <f t="shared" si="80"/>
        <v>0</v>
      </c>
      <c r="AC153" s="13">
        <f t="shared" si="81"/>
        <v>0</v>
      </c>
      <c r="AD153" s="13">
        <f t="shared" si="82"/>
        <v>0</v>
      </c>
      <c r="AE153" s="13">
        <f t="shared" si="83"/>
        <v>0</v>
      </c>
      <c r="AF153" s="13">
        <f t="shared" si="84"/>
        <v>0</v>
      </c>
      <c r="AG153" s="13">
        <f t="shared" si="85"/>
        <v>0</v>
      </c>
      <c r="AH153" s="15">
        <f t="shared" si="72"/>
        <v>8.3333333333333356E-2</v>
      </c>
      <c r="AI153" s="15">
        <f t="shared" si="86"/>
        <v>1.0000000000000002</v>
      </c>
    </row>
    <row r="154" spans="1:35" ht="12" customHeight="1" x14ac:dyDescent="0.2">
      <c r="A154" s="45" t="str">
        <f t="shared" ref="A154:A180" si="88">"all"&amp;"recycling"&amp;B154</f>
        <v>allrecycling0CRYEX6YD</v>
      </c>
      <c r="B154" s="61" t="s">
        <v>506</v>
      </c>
      <c r="C154" s="58" t="s">
        <v>588</v>
      </c>
      <c r="D154" s="11">
        <v>44.8</v>
      </c>
      <c r="E154" s="11">
        <v>47.040000000000006</v>
      </c>
      <c r="F154" s="11">
        <v>47.04</v>
      </c>
      <c r="G154" s="11"/>
      <c r="H154" s="13">
        <v>89.6</v>
      </c>
      <c r="I154" s="13">
        <v>44.8</v>
      </c>
      <c r="J154" s="13">
        <v>0</v>
      </c>
      <c r="K154" s="13">
        <v>94.08</v>
      </c>
      <c r="L154" s="13">
        <v>141.12</v>
      </c>
      <c r="M154" s="13">
        <v>0</v>
      </c>
      <c r="N154" s="13">
        <v>0</v>
      </c>
      <c r="O154" s="13">
        <v>0</v>
      </c>
      <c r="P154" s="13">
        <v>235.2</v>
      </c>
      <c r="Q154" s="13">
        <v>47.04</v>
      </c>
      <c r="R154" s="13">
        <v>0</v>
      </c>
      <c r="S154" s="13">
        <v>47.04</v>
      </c>
      <c r="T154" s="25">
        <f t="shared" si="87"/>
        <v>698.87999999999988</v>
      </c>
      <c r="V154" s="13">
        <f t="shared" si="74"/>
        <v>2</v>
      </c>
      <c r="W154" s="13">
        <f t="shared" si="75"/>
        <v>1</v>
      </c>
      <c r="X154" s="13">
        <f t="shared" si="76"/>
        <v>0</v>
      </c>
      <c r="Y154" s="13">
        <f t="shared" si="77"/>
        <v>1.9999999999999998</v>
      </c>
      <c r="Z154" s="13">
        <f t="shared" si="78"/>
        <v>2.9999999999999996</v>
      </c>
      <c r="AA154" s="13">
        <f t="shared" si="79"/>
        <v>0</v>
      </c>
      <c r="AB154" s="13">
        <f t="shared" si="80"/>
        <v>0</v>
      </c>
      <c r="AC154" s="13">
        <f t="shared" si="81"/>
        <v>0</v>
      </c>
      <c r="AD154" s="13">
        <f t="shared" si="82"/>
        <v>4.9999999999999991</v>
      </c>
      <c r="AE154" s="13">
        <f t="shared" si="83"/>
        <v>1</v>
      </c>
      <c r="AF154" s="13">
        <f t="shared" si="84"/>
        <v>0</v>
      </c>
      <c r="AG154" s="13">
        <f t="shared" si="85"/>
        <v>1</v>
      </c>
      <c r="AH154" s="15">
        <f t="shared" si="72"/>
        <v>1.25</v>
      </c>
      <c r="AI154" s="15">
        <f t="shared" si="86"/>
        <v>15</v>
      </c>
    </row>
    <row r="155" spans="1:35" ht="12" customHeight="1" x14ac:dyDescent="0.2">
      <c r="A155" s="45" t="str">
        <f t="shared" si="88"/>
        <v>allrecyclingCRY1YOC</v>
      </c>
      <c r="B155" s="61" t="s">
        <v>507</v>
      </c>
      <c r="C155" s="58" t="s">
        <v>589</v>
      </c>
      <c r="D155" s="11">
        <v>40.119999999999997</v>
      </c>
      <c r="E155" s="11">
        <v>42.129999999999995</v>
      </c>
      <c r="F155" s="11">
        <v>42.13</v>
      </c>
      <c r="G155" s="11"/>
      <c r="H155" s="13">
        <v>75</v>
      </c>
      <c r="I155" s="13">
        <v>75</v>
      </c>
      <c r="J155" s="13">
        <v>75</v>
      </c>
      <c r="K155" s="13">
        <v>78.75</v>
      </c>
      <c r="L155" s="13">
        <v>78.75</v>
      </c>
      <c r="M155" s="13">
        <v>78.75</v>
      </c>
      <c r="N155" s="13">
        <v>78.75</v>
      </c>
      <c r="O155" s="13">
        <v>78.75</v>
      </c>
      <c r="P155" s="13">
        <v>78.75</v>
      </c>
      <c r="Q155" s="13">
        <v>78.75</v>
      </c>
      <c r="R155" s="13">
        <v>78.75</v>
      </c>
      <c r="S155" s="13">
        <v>78.75</v>
      </c>
      <c r="T155" s="25">
        <f t="shared" si="87"/>
        <v>933.75</v>
      </c>
      <c r="V155" s="13">
        <f t="shared" si="74"/>
        <v>1.8693918245264209</v>
      </c>
      <c r="W155" s="13">
        <f t="shared" si="75"/>
        <v>1.8693918245264209</v>
      </c>
      <c r="X155" s="13">
        <f t="shared" si="76"/>
        <v>1.8693918245264209</v>
      </c>
      <c r="Y155" s="13">
        <f t="shared" si="77"/>
        <v>1.8692143365772611</v>
      </c>
      <c r="Z155" s="13">
        <f t="shared" si="78"/>
        <v>1.8692143365772611</v>
      </c>
      <c r="AA155" s="13">
        <f t="shared" si="79"/>
        <v>1.8692143365772611</v>
      </c>
      <c r="AB155" s="13">
        <f t="shared" si="80"/>
        <v>1.8692143365772611</v>
      </c>
      <c r="AC155" s="13">
        <f t="shared" si="81"/>
        <v>1.8692143365772611</v>
      </c>
      <c r="AD155" s="13">
        <f t="shared" si="82"/>
        <v>1.8692143365772611</v>
      </c>
      <c r="AE155" s="13">
        <f t="shared" si="83"/>
        <v>1.8692143365772607</v>
      </c>
      <c r="AF155" s="13">
        <f t="shared" si="84"/>
        <v>1.8692143365772607</v>
      </c>
      <c r="AG155" s="13">
        <f t="shared" si="85"/>
        <v>1.8692143365772607</v>
      </c>
      <c r="AH155" s="15">
        <f t="shared" si="72"/>
        <v>1.8692587085645513</v>
      </c>
      <c r="AI155" s="15">
        <f t="shared" si="86"/>
        <v>22.431104502774616</v>
      </c>
    </row>
    <row r="156" spans="1:35" ht="12" customHeight="1" x14ac:dyDescent="0.2">
      <c r="A156" s="45" t="str">
        <f t="shared" si="88"/>
        <v>allrecyclingCRY1.5OC</v>
      </c>
      <c r="B156" s="61" t="s">
        <v>508</v>
      </c>
      <c r="C156" s="58" t="s">
        <v>590</v>
      </c>
      <c r="D156" s="11">
        <v>40.119999999999997</v>
      </c>
      <c r="E156" s="11">
        <v>42.129999999999995</v>
      </c>
      <c r="F156" s="11">
        <v>42.13</v>
      </c>
      <c r="G156" s="11"/>
      <c r="H156" s="13">
        <v>0</v>
      </c>
      <c r="I156" s="13">
        <v>0</v>
      </c>
      <c r="J156" s="13">
        <v>0</v>
      </c>
      <c r="K156" s="13">
        <v>0</v>
      </c>
      <c r="L156" s="13">
        <v>0</v>
      </c>
      <c r="M156" s="13">
        <v>0</v>
      </c>
      <c r="N156" s="13">
        <v>0</v>
      </c>
      <c r="O156" s="13">
        <v>0</v>
      </c>
      <c r="P156" s="13">
        <v>0</v>
      </c>
      <c r="Q156" s="13">
        <v>0</v>
      </c>
      <c r="R156" s="13">
        <v>0</v>
      </c>
      <c r="S156" s="13">
        <v>0</v>
      </c>
      <c r="T156" s="25">
        <f t="shared" si="87"/>
        <v>0</v>
      </c>
      <c r="V156" s="13">
        <f t="shared" si="74"/>
        <v>0</v>
      </c>
      <c r="W156" s="13">
        <f t="shared" si="75"/>
        <v>0</v>
      </c>
      <c r="X156" s="13">
        <f t="shared" si="76"/>
        <v>0</v>
      </c>
      <c r="Y156" s="13">
        <f t="shared" si="77"/>
        <v>0</v>
      </c>
      <c r="Z156" s="13">
        <f t="shared" si="78"/>
        <v>0</v>
      </c>
      <c r="AA156" s="13">
        <f t="shared" si="79"/>
        <v>0</v>
      </c>
      <c r="AB156" s="13">
        <f t="shared" si="80"/>
        <v>0</v>
      </c>
      <c r="AC156" s="13">
        <f t="shared" si="81"/>
        <v>0</v>
      </c>
      <c r="AD156" s="13">
        <f t="shared" si="82"/>
        <v>0</v>
      </c>
      <c r="AE156" s="13">
        <f t="shared" si="83"/>
        <v>0</v>
      </c>
      <c r="AF156" s="13">
        <f t="shared" si="84"/>
        <v>0</v>
      </c>
      <c r="AG156" s="13">
        <f t="shared" si="85"/>
        <v>0</v>
      </c>
      <c r="AH156" s="15">
        <f t="shared" si="72"/>
        <v>0</v>
      </c>
      <c r="AI156" s="15">
        <f t="shared" si="86"/>
        <v>0</v>
      </c>
    </row>
    <row r="157" spans="1:35" ht="12" customHeight="1" x14ac:dyDescent="0.2">
      <c r="A157" s="45" t="str">
        <f t="shared" si="88"/>
        <v>allrecyclingCRY2YOC</v>
      </c>
      <c r="B157" s="61" t="s">
        <v>509</v>
      </c>
      <c r="C157" s="58" t="s">
        <v>591</v>
      </c>
      <c r="D157" s="11">
        <v>42.99</v>
      </c>
      <c r="E157" s="11">
        <v>45.139999999999993</v>
      </c>
      <c r="F157" s="11">
        <v>45.14</v>
      </c>
      <c r="G157" s="11"/>
      <c r="H157" s="13">
        <v>283.47000000000003</v>
      </c>
      <c r="I157" s="13">
        <v>283.47000000000003</v>
      </c>
      <c r="J157" s="13">
        <v>283.47000000000003</v>
      </c>
      <c r="K157" s="13">
        <v>295.81</v>
      </c>
      <c r="L157" s="13">
        <v>295.81</v>
      </c>
      <c r="M157" s="13">
        <v>295.81</v>
      </c>
      <c r="N157" s="13">
        <v>259.06</v>
      </c>
      <c r="O157" s="13">
        <v>259.06</v>
      </c>
      <c r="P157" s="13">
        <v>259.06</v>
      </c>
      <c r="Q157" s="13">
        <v>259.06</v>
      </c>
      <c r="R157" s="13">
        <v>259.06</v>
      </c>
      <c r="S157" s="13">
        <v>259.06</v>
      </c>
      <c r="T157" s="25">
        <f t="shared" si="87"/>
        <v>3292.2</v>
      </c>
      <c r="V157" s="13">
        <f t="shared" si="74"/>
        <v>6.5938590369853456</v>
      </c>
      <c r="W157" s="13">
        <f t="shared" si="75"/>
        <v>6.5938590369853456</v>
      </c>
      <c r="X157" s="13">
        <f t="shared" si="76"/>
        <v>6.5938590369853456</v>
      </c>
      <c r="Y157" s="13">
        <f t="shared" si="77"/>
        <v>6.553167922020382</v>
      </c>
      <c r="Z157" s="13">
        <f t="shared" si="78"/>
        <v>6.553167922020382</v>
      </c>
      <c r="AA157" s="13">
        <f t="shared" si="79"/>
        <v>6.553167922020382</v>
      </c>
      <c r="AB157" s="13">
        <f t="shared" si="80"/>
        <v>5.7390341160832969</v>
      </c>
      <c r="AC157" s="13">
        <f t="shared" si="81"/>
        <v>5.7390341160832969</v>
      </c>
      <c r="AD157" s="13">
        <f t="shared" si="82"/>
        <v>5.7390341160832969</v>
      </c>
      <c r="AE157" s="13">
        <f t="shared" si="83"/>
        <v>5.7390341160832961</v>
      </c>
      <c r="AF157" s="13">
        <f t="shared" si="84"/>
        <v>5.7390341160832961</v>
      </c>
      <c r="AG157" s="13">
        <f t="shared" si="85"/>
        <v>5.7390341160832961</v>
      </c>
      <c r="AH157" s="15">
        <f t="shared" si="72"/>
        <v>6.156273797793081</v>
      </c>
      <c r="AI157" s="15">
        <f t="shared" si="86"/>
        <v>73.875285573516976</v>
      </c>
    </row>
    <row r="158" spans="1:35" ht="12" customHeight="1" x14ac:dyDescent="0.2">
      <c r="A158" s="45" t="str">
        <f t="shared" si="88"/>
        <v>allrecyclingCRY3YOC</v>
      </c>
      <c r="B158" s="61" t="s">
        <v>510</v>
      </c>
      <c r="C158" s="58" t="s">
        <v>592</v>
      </c>
      <c r="D158" s="11">
        <v>45.840000000000018</v>
      </c>
      <c r="E158" s="11">
        <v>48.13</v>
      </c>
      <c r="F158" s="11">
        <v>48.13</v>
      </c>
      <c r="G158" s="11"/>
      <c r="H158" s="13">
        <v>197.98</v>
      </c>
      <c r="I158" s="13">
        <v>197.98</v>
      </c>
      <c r="J158" s="13">
        <v>197.98</v>
      </c>
      <c r="K158" s="13">
        <v>207.87</v>
      </c>
      <c r="L158" s="13">
        <v>159.74</v>
      </c>
      <c r="M158" s="13">
        <v>159.74</v>
      </c>
      <c r="N158" s="13">
        <v>159.74</v>
      </c>
      <c r="O158" s="13">
        <v>231.94</v>
      </c>
      <c r="P158" s="13">
        <v>207.87</v>
      </c>
      <c r="Q158" s="13">
        <v>207.87</v>
      </c>
      <c r="R158" s="13">
        <v>207.87</v>
      </c>
      <c r="S158" s="13">
        <v>207.87</v>
      </c>
      <c r="T158" s="25">
        <f t="shared" si="87"/>
        <v>2344.4499999999998</v>
      </c>
      <c r="V158" s="13">
        <f t="shared" si="74"/>
        <v>4.3189354275741687</v>
      </c>
      <c r="W158" s="13">
        <f t="shared" si="75"/>
        <v>4.3189354275741687</v>
      </c>
      <c r="X158" s="13">
        <f t="shared" si="76"/>
        <v>4.3189354275741687</v>
      </c>
      <c r="Y158" s="13">
        <f t="shared" si="77"/>
        <v>4.3189279035944317</v>
      </c>
      <c r="Z158" s="13">
        <f t="shared" si="78"/>
        <v>3.3189279035944317</v>
      </c>
      <c r="AA158" s="13">
        <f t="shared" si="79"/>
        <v>3.3189279035944317</v>
      </c>
      <c r="AB158" s="13">
        <f t="shared" si="80"/>
        <v>3.3189279035944317</v>
      </c>
      <c r="AC158" s="13">
        <f t="shared" si="81"/>
        <v>4.8190317889050487</v>
      </c>
      <c r="AD158" s="13">
        <f t="shared" si="82"/>
        <v>4.3189279035944317</v>
      </c>
      <c r="AE158" s="13">
        <f t="shared" si="83"/>
        <v>4.3189279035944317</v>
      </c>
      <c r="AF158" s="13">
        <f t="shared" si="84"/>
        <v>4.3189279035944317</v>
      </c>
      <c r="AG158" s="13">
        <f t="shared" si="85"/>
        <v>4.3189279035944317</v>
      </c>
      <c r="AH158" s="15">
        <f t="shared" si="72"/>
        <v>4.1106051083652497</v>
      </c>
      <c r="AI158" s="15">
        <f t="shared" si="86"/>
        <v>49.327261300383</v>
      </c>
    </row>
    <row r="159" spans="1:35" ht="12" customHeight="1" x14ac:dyDescent="0.2">
      <c r="A159" s="45" t="str">
        <f t="shared" si="88"/>
        <v>allrecyclingCRY4YOC</v>
      </c>
      <c r="B159" s="61" t="s">
        <v>511</v>
      </c>
      <c r="C159" s="58" t="s">
        <v>593</v>
      </c>
      <c r="D159" s="11">
        <v>54.429999999999986</v>
      </c>
      <c r="E159" s="11">
        <v>57.149999999999991</v>
      </c>
      <c r="F159" s="11">
        <v>57.15</v>
      </c>
      <c r="G159" s="11"/>
      <c r="H159" s="13">
        <v>72.94</v>
      </c>
      <c r="I159" s="13">
        <v>72.94</v>
      </c>
      <c r="J159" s="13">
        <v>72.94</v>
      </c>
      <c r="K159" s="13">
        <v>74.48</v>
      </c>
      <c r="L159" s="13">
        <v>85.91</v>
      </c>
      <c r="M159" s="13">
        <v>131.63</v>
      </c>
      <c r="N159" s="13">
        <v>132.88999999999999</v>
      </c>
      <c r="O159" s="13">
        <v>247.19</v>
      </c>
      <c r="P159" s="13">
        <v>247.19</v>
      </c>
      <c r="Q159" s="13">
        <v>247.19</v>
      </c>
      <c r="R159" s="13">
        <v>247.19</v>
      </c>
      <c r="S159" s="13">
        <v>247.19</v>
      </c>
      <c r="T159" s="25">
        <f t="shared" si="87"/>
        <v>1879.6800000000003</v>
      </c>
      <c r="V159" s="13">
        <f t="shared" si="74"/>
        <v>1.3400698144405663</v>
      </c>
      <c r="W159" s="13">
        <f t="shared" si="75"/>
        <v>1.3400698144405663</v>
      </c>
      <c r="X159" s="13">
        <f t="shared" si="76"/>
        <v>1.3400698144405663</v>
      </c>
      <c r="Y159" s="13">
        <f t="shared" si="77"/>
        <v>1.3032370953630799</v>
      </c>
      <c r="Z159" s="13">
        <f t="shared" si="78"/>
        <v>1.5032370953630798</v>
      </c>
      <c r="AA159" s="13">
        <f t="shared" si="79"/>
        <v>2.3032370953630799</v>
      </c>
      <c r="AB159" s="13">
        <f t="shared" si="80"/>
        <v>2.3252843394575677</v>
      </c>
      <c r="AC159" s="13">
        <f t="shared" si="81"/>
        <v>4.3252843394575686</v>
      </c>
      <c r="AD159" s="13">
        <f t="shared" si="82"/>
        <v>4.3252843394575686</v>
      </c>
      <c r="AE159" s="13">
        <f t="shared" si="83"/>
        <v>4.3252843394575677</v>
      </c>
      <c r="AF159" s="13">
        <f t="shared" si="84"/>
        <v>4.3252843394575677</v>
      </c>
      <c r="AG159" s="13">
        <f t="shared" si="85"/>
        <v>4.3252843394575677</v>
      </c>
      <c r="AH159" s="15">
        <f t="shared" si="72"/>
        <v>2.7568022305130291</v>
      </c>
      <c r="AI159" s="15">
        <f t="shared" si="86"/>
        <v>33.081626766156347</v>
      </c>
    </row>
    <row r="160" spans="1:35" ht="12" customHeight="1" x14ac:dyDescent="0.2">
      <c r="A160" s="45" t="str">
        <f t="shared" si="88"/>
        <v>allrecyclingCRY6YOC</v>
      </c>
      <c r="B160" s="61" t="s">
        <v>512</v>
      </c>
      <c r="C160" s="58" t="s">
        <v>594</v>
      </c>
      <c r="D160" s="11">
        <v>57.320000000000014</v>
      </c>
      <c r="E160" s="11">
        <v>60.190000000000005</v>
      </c>
      <c r="F160" s="11">
        <v>60.19</v>
      </c>
      <c r="G160" s="11"/>
      <c r="H160" s="13">
        <v>166.75</v>
      </c>
      <c r="I160" s="13">
        <v>166.75</v>
      </c>
      <c r="J160" s="13">
        <v>166.75</v>
      </c>
      <c r="K160" s="13">
        <v>175.1</v>
      </c>
      <c r="L160" s="13">
        <v>175.1</v>
      </c>
      <c r="M160" s="13">
        <v>175.1</v>
      </c>
      <c r="N160" s="13">
        <v>175.1</v>
      </c>
      <c r="O160" s="13">
        <v>175.1</v>
      </c>
      <c r="P160" s="13">
        <v>175.1</v>
      </c>
      <c r="Q160" s="13">
        <v>175.1</v>
      </c>
      <c r="R160" s="13">
        <v>175.1</v>
      </c>
      <c r="S160" s="13">
        <v>175.1</v>
      </c>
      <c r="T160" s="25">
        <f t="shared" si="87"/>
        <v>2076.1499999999996</v>
      </c>
      <c r="V160" s="13">
        <f t="shared" si="74"/>
        <v>2.9091067690160495</v>
      </c>
      <c r="W160" s="13">
        <f t="shared" si="75"/>
        <v>2.9091067690160495</v>
      </c>
      <c r="X160" s="13">
        <f t="shared" si="76"/>
        <v>2.9091067690160495</v>
      </c>
      <c r="Y160" s="13">
        <f t="shared" si="77"/>
        <v>2.9091211164645285</v>
      </c>
      <c r="Z160" s="13">
        <f t="shared" si="78"/>
        <v>2.9091211164645285</v>
      </c>
      <c r="AA160" s="13">
        <f t="shared" si="79"/>
        <v>2.9091211164645285</v>
      </c>
      <c r="AB160" s="13">
        <f t="shared" si="80"/>
        <v>2.9091211164645285</v>
      </c>
      <c r="AC160" s="13">
        <f t="shared" si="81"/>
        <v>2.9091211164645285</v>
      </c>
      <c r="AD160" s="13">
        <f t="shared" si="82"/>
        <v>2.9091211164645285</v>
      </c>
      <c r="AE160" s="13">
        <f t="shared" si="83"/>
        <v>2.909121116464529</v>
      </c>
      <c r="AF160" s="13">
        <f t="shared" si="84"/>
        <v>2.909121116464529</v>
      </c>
      <c r="AG160" s="13">
        <f t="shared" si="85"/>
        <v>2.909121116464529</v>
      </c>
      <c r="AH160" s="15">
        <f t="shared" si="72"/>
        <v>2.9091175296024088</v>
      </c>
      <c r="AI160" s="15">
        <f t="shared" si="86"/>
        <v>34.909410355228907</v>
      </c>
    </row>
    <row r="161" spans="1:35" ht="12" customHeight="1" x14ac:dyDescent="0.2">
      <c r="A161" s="45" t="str">
        <f t="shared" si="88"/>
        <v>allrecyclingCRY3YRENT</v>
      </c>
      <c r="B161" s="61" t="s">
        <v>513</v>
      </c>
      <c r="C161" s="58" t="s">
        <v>595</v>
      </c>
      <c r="D161" s="11">
        <v>37.880000000000003</v>
      </c>
      <c r="E161" s="11">
        <v>37.880000000000003</v>
      </c>
      <c r="F161" s="11">
        <v>37.880000000000003</v>
      </c>
      <c r="G161" s="11"/>
      <c r="H161" s="13">
        <v>0</v>
      </c>
      <c r="I161" s="13">
        <v>0</v>
      </c>
      <c r="J161" s="13">
        <v>0</v>
      </c>
      <c r="K161" s="13">
        <v>0</v>
      </c>
      <c r="L161" s="13">
        <v>0</v>
      </c>
      <c r="M161" s="13">
        <v>0</v>
      </c>
      <c r="N161" s="13">
        <v>0</v>
      </c>
      <c r="O161" s="13">
        <v>0</v>
      </c>
      <c r="P161" s="13">
        <v>0</v>
      </c>
      <c r="Q161" s="13">
        <v>0</v>
      </c>
      <c r="R161" s="13">
        <v>0</v>
      </c>
      <c r="S161" s="13">
        <v>0</v>
      </c>
      <c r="T161" s="25">
        <f t="shared" si="87"/>
        <v>0</v>
      </c>
      <c r="V161" s="13">
        <f t="shared" si="74"/>
        <v>0</v>
      </c>
      <c r="W161" s="13">
        <f t="shared" si="75"/>
        <v>0</v>
      </c>
      <c r="X161" s="13">
        <f t="shared" si="76"/>
        <v>0</v>
      </c>
      <c r="Y161" s="13">
        <f t="shared" si="77"/>
        <v>0</v>
      </c>
      <c r="Z161" s="13">
        <f t="shared" si="78"/>
        <v>0</v>
      </c>
      <c r="AA161" s="13">
        <f t="shared" si="79"/>
        <v>0</v>
      </c>
      <c r="AB161" s="13">
        <f t="shared" si="80"/>
        <v>0</v>
      </c>
      <c r="AC161" s="13">
        <f t="shared" si="81"/>
        <v>0</v>
      </c>
      <c r="AD161" s="13">
        <f t="shared" si="82"/>
        <v>0</v>
      </c>
      <c r="AE161" s="13">
        <f t="shared" si="83"/>
        <v>0</v>
      </c>
      <c r="AF161" s="13">
        <f t="shared" si="84"/>
        <v>0</v>
      </c>
      <c r="AG161" s="13">
        <f t="shared" si="85"/>
        <v>0</v>
      </c>
      <c r="AH161" s="15">
        <f t="shared" si="72"/>
        <v>0</v>
      </c>
      <c r="AI161" s="15">
        <f t="shared" si="86"/>
        <v>0</v>
      </c>
    </row>
    <row r="162" spans="1:35" ht="12" customHeight="1" x14ac:dyDescent="0.2">
      <c r="A162" s="45" t="str">
        <f t="shared" si="88"/>
        <v>allrecyclingCRY4YRENT</v>
      </c>
      <c r="B162" s="61" t="s">
        <v>514</v>
      </c>
      <c r="C162" s="58" t="s">
        <v>596</v>
      </c>
      <c r="D162" s="11">
        <v>44.98</v>
      </c>
      <c r="E162" s="11">
        <v>44.98</v>
      </c>
      <c r="F162" s="11">
        <v>44.98</v>
      </c>
      <c r="G162" s="11"/>
      <c r="H162" s="13">
        <v>0</v>
      </c>
      <c r="I162" s="13">
        <v>0</v>
      </c>
      <c r="J162" s="13">
        <v>0</v>
      </c>
      <c r="K162" s="13">
        <v>0</v>
      </c>
      <c r="L162" s="13">
        <v>0</v>
      </c>
      <c r="M162" s="13">
        <v>0</v>
      </c>
      <c r="N162" s="13">
        <v>0</v>
      </c>
      <c r="O162" s="13">
        <v>0</v>
      </c>
      <c r="P162" s="13">
        <v>0</v>
      </c>
      <c r="Q162" s="13">
        <v>0</v>
      </c>
      <c r="R162" s="13">
        <v>0</v>
      </c>
      <c r="S162" s="13">
        <v>0</v>
      </c>
      <c r="T162" s="25">
        <f t="shared" si="87"/>
        <v>0</v>
      </c>
      <c r="V162" s="13">
        <f t="shared" si="74"/>
        <v>0</v>
      </c>
      <c r="W162" s="13">
        <f t="shared" si="75"/>
        <v>0</v>
      </c>
      <c r="X162" s="13">
        <f t="shared" si="76"/>
        <v>0</v>
      </c>
      <c r="Y162" s="13">
        <f t="shared" si="77"/>
        <v>0</v>
      </c>
      <c r="Z162" s="13">
        <f t="shared" si="78"/>
        <v>0</v>
      </c>
      <c r="AA162" s="13">
        <f t="shared" si="79"/>
        <v>0</v>
      </c>
      <c r="AB162" s="13">
        <f t="shared" si="80"/>
        <v>0</v>
      </c>
      <c r="AC162" s="13">
        <f t="shared" si="81"/>
        <v>0</v>
      </c>
      <c r="AD162" s="13">
        <f t="shared" si="82"/>
        <v>0</v>
      </c>
      <c r="AE162" s="13">
        <f t="shared" si="83"/>
        <v>0</v>
      </c>
      <c r="AF162" s="13">
        <f t="shared" si="84"/>
        <v>0</v>
      </c>
      <c r="AG162" s="13">
        <f t="shared" si="85"/>
        <v>0</v>
      </c>
      <c r="AH162" s="15">
        <f t="shared" si="72"/>
        <v>0</v>
      </c>
      <c r="AI162" s="15">
        <f t="shared" si="86"/>
        <v>0</v>
      </c>
    </row>
    <row r="163" spans="1:35" ht="12" customHeight="1" x14ac:dyDescent="0.2">
      <c r="A163" s="45" t="str">
        <f t="shared" si="88"/>
        <v>allrecyclingCRY5YRENT</v>
      </c>
      <c r="B163" s="61" t="s">
        <v>515</v>
      </c>
      <c r="C163" s="58" t="s">
        <v>597</v>
      </c>
      <c r="D163" s="11">
        <v>44.97</v>
      </c>
      <c r="E163" s="11">
        <v>44.97</v>
      </c>
      <c r="F163" s="11">
        <v>44.97</v>
      </c>
      <c r="G163" s="11"/>
      <c r="H163" s="13">
        <v>0</v>
      </c>
      <c r="I163" s="13">
        <v>0</v>
      </c>
      <c r="J163" s="13">
        <v>0</v>
      </c>
      <c r="K163" s="13">
        <v>0</v>
      </c>
      <c r="L163" s="13">
        <v>0</v>
      </c>
      <c r="M163" s="13">
        <v>0</v>
      </c>
      <c r="N163" s="13">
        <v>0</v>
      </c>
      <c r="O163" s="13">
        <v>0</v>
      </c>
      <c r="P163" s="13">
        <v>0</v>
      </c>
      <c r="Q163" s="13">
        <v>0</v>
      </c>
      <c r="R163" s="13">
        <v>0</v>
      </c>
      <c r="S163" s="13">
        <v>0</v>
      </c>
      <c r="T163" s="25">
        <f t="shared" si="87"/>
        <v>0</v>
      </c>
      <c r="V163" s="13">
        <f t="shared" si="74"/>
        <v>0</v>
      </c>
      <c r="W163" s="13">
        <f t="shared" si="75"/>
        <v>0</v>
      </c>
      <c r="X163" s="13">
        <f t="shared" si="76"/>
        <v>0</v>
      </c>
      <c r="Y163" s="13">
        <f t="shared" si="77"/>
        <v>0</v>
      </c>
      <c r="Z163" s="13">
        <f t="shared" si="78"/>
        <v>0</v>
      </c>
      <c r="AA163" s="13">
        <f t="shared" si="79"/>
        <v>0</v>
      </c>
      <c r="AB163" s="13">
        <f t="shared" si="80"/>
        <v>0</v>
      </c>
      <c r="AC163" s="13">
        <f t="shared" si="81"/>
        <v>0</v>
      </c>
      <c r="AD163" s="13">
        <f t="shared" si="82"/>
        <v>0</v>
      </c>
      <c r="AE163" s="13">
        <f t="shared" si="83"/>
        <v>0</v>
      </c>
      <c r="AF163" s="13">
        <f t="shared" si="84"/>
        <v>0</v>
      </c>
      <c r="AG163" s="13">
        <f t="shared" si="85"/>
        <v>0</v>
      </c>
      <c r="AH163" s="15">
        <f t="shared" si="72"/>
        <v>0</v>
      </c>
      <c r="AI163" s="15">
        <f t="shared" si="86"/>
        <v>0</v>
      </c>
    </row>
    <row r="164" spans="1:35" ht="12" customHeight="1" x14ac:dyDescent="0.2">
      <c r="A164" s="45" t="str">
        <f t="shared" si="88"/>
        <v>allrecyclingCRY90OC3</v>
      </c>
      <c r="B164" s="61" t="s">
        <v>650</v>
      </c>
      <c r="C164" s="58" t="s">
        <v>654</v>
      </c>
      <c r="D164" s="11">
        <v>34.850000000000009</v>
      </c>
      <c r="E164" s="11">
        <v>36.590000000000003</v>
      </c>
      <c r="F164" s="11">
        <v>36.590000000000003</v>
      </c>
      <c r="G164" s="11"/>
      <c r="H164" s="13">
        <v>0</v>
      </c>
      <c r="I164" s="13">
        <v>0</v>
      </c>
      <c r="J164" s="13">
        <v>0</v>
      </c>
      <c r="K164" s="13">
        <v>0</v>
      </c>
      <c r="L164" s="13">
        <v>0</v>
      </c>
      <c r="M164" s="13">
        <v>0</v>
      </c>
      <c r="N164" s="13">
        <v>0</v>
      </c>
      <c r="O164" s="13">
        <v>0</v>
      </c>
      <c r="P164" s="13">
        <v>0</v>
      </c>
      <c r="Q164" s="13">
        <v>0</v>
      </c>
      <c r="R164" s="13">
        <v>0</v>
      </c>
      <c r="S164" s="13">
        <v>0</v>
      </c>
      <c r="T164" s="25">
        <f t="shared" si="87"/>
        <v>0</v>
      </c>
      <c r="V164" s="13">
        <f t="shared" si="74"/>
        <v>0</v>
      </c>
      <c r="W164" s="13">
        <f t="shared" si="75"/>
        <v>0</v>
      </c>
      <c r="X164" s="13">
        <f t="shared" si="76"/>
        <v>0</v>
      </c>
      <c r="Y164" s="13">
        <f t="shared" si="77"/>
        <v>0</v>
      </c>
      <c r="Z164" s="13">
        <f t="shared" si="78"/>
        <v>0</v>
      </c>
      <c r="AA164" s="13">
        <f t="shared" si="79"/>
        <v>0</v>
      </c>
      <c r="AB164" s="13">
        <f t="shared" si="80"/>
        <v>0</v>
      </c>
      <c r="AC164" s="13">
        <f t="shared" si="81"/>
        <v>0</v>
      </c>
      <c r="AD164" s="13">
        <f t="shared" si="82"/>
        <v>0</v>
      </c>
      <c r="AE164" s="13">
        <f t="shared" si="83"/>
        <v>0</v>
      </c>
      <c r="AF164" s="13">
        <f t="shared" si="84"/>
        <v>0</v>
      </c>
      <c r="AG164" s="13">
        <f t="shared" si="85"/>
        <v>0</v>
      </c>
      <c r="AH164" s="15">
        <f t="shared" si="72"/>
        <v>0</v>
      </c>
      <c r="AI164" s="15">
        <f t="shared" si="86"/>
        <v>0</v>
      </c>
    </row>
    <row r="165" spans="1:35" ht="12" customHeight="1" x14ac:dyDescent="0.2">
      <c r="A165" s="45" t="str">
        <f t="shared" si="88"/>
        <v>allrecycling0CRY90OC</v>
      </c>
      <c r="B165" s="61" t="s">
        <v>516</v>
      </c>
      <c r="C165" s="58" t="s">
        <v>598</v>
      </c>
      <c r="D165" s="11">
        <v>11.620000000000003</v>
      </c>
      <c r="E165" s="11">
        <v>12.200000000000001</v>
      </c>
      <c r="F165" s="11">
        <v>12.2</v>
      </c>
      <c r="G165" s="11"/>
      <c r="H165" s="13">
        <v>0</v>
      </c>
      <c r="I165" s="13">
        <v>0</v>
      </c>
      <c r="J165" s="13">
        <v>0</v>
      </c>
      <c r="K165" s="13">
        <v>0</v>
      </c>
      <c r="L165" s="13">
        <v>0</v>
      </c>
      <c r="M165" s="13">
        <v>0</v>
      </c>
      <c r="N165" s="13">
        <v>0</v>
      </c>
      <c r="O165" s="13">
        <v>0</v>
      </c>
      <c r="P165" s="13">
        <v>0</v>
      </c>
      <c r="Q165" s="13">
        <v>0</v>
      </c>
      <c r="R165" s="13">
        <v>0</v>
      </c>
      <c r="S165" s="13">
        <v>0</v>
      </c>
      <c r="T165" s="25">
        <f t="shared" si="87"/>
        <v>0</v>
      </c>
      <c r="V165" s="13">
        <f t="shared" si="74"/>
        <v>0</v>
      </c>
      <c r="W165" s="13">
        <f t="shared" si="75"/>
        <v>0</v>
      </c>
      <c r="X165" s="13">
        <f t="shared" si="76"/>
        <v>0</v>
      </c>
      <c r="Y165" s="13">
        <f t="shared" si="77"/>
        <v>0</v>
      </c>
      <c r="Z165" s="13">
        <f t="shared" si="78"/>
        <v>0</v>
      </c>
      <c r="AA165" s="13">
        <f t="shared" si="79"/>
        <v>0</v>
      </c>
      <c r="AB165" s="13">
        <f t="shared" si="80"/>
        <v>0</v>
      </c>
      <c r="AC165" s="13">
        <f t="shared" si="81"/>
        <v>0</v>
      </c>
      <c r="AD165" s="13">
        <f t="shared" si="82"/>
        <v>0</v>
      </c>
      <c r="AE165" s="13">
        <f t="shared" si="83"/>
        <v>0</v>
      </c>
      <c r="AF165" s="13">
        <f t="shared" si="84"/>
        <v>0</v>
      </c>
      <c r="AG165" s="13">
        <f t="shared" si="85"/>
        <v>0</v>
      </c>
      <c r="AH165" s="15">
        <f t="shared" si="72"/>
        <v>0</v>
      </c>
      <c r="AI165" s="15">
        <f t="shared" si="86"/>
        <v>0</v>
      </c>
    </row>
    <row r="166" spans="1:35" ht="12" customHeight="1" x14ac:dyDescent="0.2">
      <c r="A166" s="45" t="str">
        <f t="shared" si="88"/>
        <v>allrecyclingCRY90OC</v>
      </c>
      <c r="B166" s="61" t="s">
        <v>517</v>
      </c>
      <c r="C166" s="58" t="s">
        <v>598</v>
      </c>
      <c r="D166" s="11">
        <v>11.620000000000003</v>
      </c>
      <c r="E166" s="11">
        <v>12.200000000000001</v>
      </c>
      <c r="F166" s="11">
        <v>12.2</v>
      </c>
      <c r="G166" s="11"/>
      <c r="H166" s="13">
        <v>122.35000000000001</v>
      </c>
      <c r="I166" s="13">
        <v>122.35000000000001</v>
      </c>
      <c r="J166" s="13">
        <v>122.35000000000001</v>
      </c>
      <c r="K166" s="13">
        <v>128.49</v>
      </c>
      <c r="L166" s="13">
        <v>129.51</v>
      </c>
      <c r="M166" s="13">
        <v>131.55000000000001</v>
      </c>
      <c r="N166" s="13">
        <v>131.54999999999998</v>
      </c>
      <c r="O166" s="13">
        <v>140.5</v>
      </c>
      <c r="P166" s="13">
        <v>143.75</v>
      </c>
      <c r="Q166" s="13">
        <v>143.75</v>
      </c>
      <c r="R166" s="13">
        <v>-34.230000000000011</v>
      </c>
      <c r="S166" s="13">
        <v>131.69999999999999</v>
      </c>
      <c r="T166" s="25">
        <f t="shared" si="87"/>
        <v>1413.62</v>
      </c>
      <c r="V166" s="13">
        <f t="shared" si="74"/>
        <v>10.529259896729775</v>
      </c>
      <c r="W166" s="13">
        <f t="shared" si="75"/>
        <v>10.529259896729775</v>
      </c>
      <c r="X166" s="13">
        <f t="shared" si="76"/>
        <v>10.529259896729775</v>
      </c>
      <c r="Y166" s="13">
        <f t="shared" si="77"/>
        <v>10.531967213114754</v>
      </c>
      <c r="Z166" s="13">
        <f t="shared" si="78"/>
        <v>10.615573770491801</v>
      </c>
      <c r="AA166" s="13">
        <f t="shared" si="79"/>
        <v>10.782786885245901</v>
      </c>
      <c r="AB166" s="13">
        <f t="shared" si="80"/>
        <v>10.782786885245899</v>
      </c>
      <c r="AC166" s="13">
        <f t="shared" si="81"/>
        <v>11.516393442622951</v>
      </c>
      <c r="AD166" s="13">
        <f t="shared" si="82"/>
        <v>11.782786885245901</v>
      </c>
      <c r="AE166" s="13">
        <f t="shared" si="83"/>
        <v>11.782786885245903</v>
      </c>
      <c r="AF166" s="13">
        <f t="shared" si="84"/>
        <v>-2.8057377049180339</v>
      </c>
      <c r="AG166" s="13">
        <f t="shared" si="85"/>
        <v>10.795081967213115</v>
      </c>
      <c r="AH166" s="15">
        <f t="shared" si="72"/>
        <v>9.7810171599747928</v>
      </c>
      <c r="AI166" s="15">
        <f t="shared" si="86"/>
        <v>117.37220591969751</v>
      </c>
    </row>
    <row r="167" spans="1:35" ht="12" customHeight="1" x14ac:dyDescent="0.2">
      <c r="A167" s="45" t="str">
        <f t="shared" si="88"/>
        <v>allrecyclingCRY90OC2</v>
      </c>
      <c r="B167" s="61" t="s">
        <v>518</v>
      </c>
      <c r="C167" s="58" t="s">
        <v>599</v>
      </c>
      <c r="D167" s="11">
        <v>23.240000000000006</v>
      </c>
      <c r="E167" s="11">
        <v>24.400000000000002</v>
      </c>
      <c r="F167" s="11">
        <v>24.4</v>
      </c>
      <c r="G167" s="12"/>
      <c r="H167" s="13">
        <v>12.46</v>
      </c>
      <c r="I167" s="13">
        <v>12.46</v>
      </c>
      <c r="J167" s="13">
        <v>12.46</v>
      </c>
      <c r="K167" s="13">
        <v>13.08</v>
      </c>
      <c r="L167" s="13">
        <v>13.08</v>
      </c>
      <c r="M167" s="13">
        <v>13.08</v>
      </c>
      <c r="N167" s="13">
        <v>13.08</v>
      </c>
      <c r="O167" s="13">
        <v>13.08</v>
      </c>
      <c r="P167" s="13">
        <v>13.08</v>
      </c>
      <c r="Q167" s="13">
        <v>13.08</v>
      </c>
      <c r="R167" s="13">
        <v>13.08</v>
      </c>
      <c r="S167" s="13">
        <v>13.08</v>
      </c>
      <c r="T167" s="25">
        <f t="shared" si="87"/>
        <v>155.10000000000002</v>
      </c>
      <c r="V167" s="13">
        <f t="shared" si="74"/>
        <v>0.53614457831325291</v>
      </c>
      <c r="W167" s="13">
        <f t="shared" si="75"/>
        <v>0.53614457831325291</v>
      </c>
      <c r="X167" s="13">
        <f t="shared" si="76"/>
        <v>0.53614457831325291</v>
      </c>
      <c r="Y167" s="13">
        <f t="shared" si="77"/>
        <v>0.5360655737704918</v>
      </c>
      <c r="Z167" s="13">
        <f t="shared" si="78"/>
        <v>0.5360655737704918</v>
      </c>
      <c r="AA167" s="13">
        <f t="shared" si="79"/>
        <v>0.5360655737704918</v>
      </c>
      <c r="AB167" s="13">
        <f t="shared" si="80"/>
        <v>0.5360655737704918</v>
      </c>
      <c r="AC167" s="13">
        <f t="shared" si="81"/>
        <v>0.5360655737704918</v>
      </c>
      <c r="AD167" s="13">
        <f t="shared" si="82"/>
        <v>0.5360655737704918</v>
      </c>
      <c r="AE167" s="13">
        <f t="shared" si="83"/>
        <v>0.5360655737704918</v>
      </c>
      <c r="AF167" s="13">
        <f t="shared" si="84"/>
        <v>0.5360655737704918</v>
      </c>
      <c r="AG167" s="13">
        <f t="shared" si="85"/>
        <v>0.5360655737704918</v>
      </c>
      <c r="AH167" s="15">
        <f t="shared" si="72"/>
        <v>0.53608532490618188</v>
      </c>
      <c r="AI167" s="15">
        <f t="shared" si="86"/>
        <v>6.4330238988741826</v>
      </c>
    </row>
    <row r="168" spans="1:35" ht="12" customHeight="1" x14ac:dyDescent="0.2">
      <c r="A168" s="45" t="str">
        <f t="shared" si="88"/>
        <v>allrecyclingCRYEXC</v>
      </c>
      <c r="B168" s="61" t="s">
        <v>519</v>
      </c>
      <c r="C168" s="58" t="s">
        <v>600</v>
      </c>
      <c r="D168" s="11">
        <v>29.769999999999996</v>
      </c>
      <c r="E168" s="11">
        <v>31.259999999999998</v>
      </c>
      <c r="F168" s="11">
        <v>31.26</v>
      </c>
      <c r="G168" s="12"/>
      <c r="H168" s="13">
        <v>4882.28</v>
      </c>
      <c r="I168" s="13">
        <v>7353.1900000000005</v>
      </c>
      <c r="J168" s="13">
        <v>8276.06</v>
      </c>
      <c r="K168" s="13">
        <v>9638.4699999999993</v>
      </c>
      <c r="L168" s="13">
        <v>7627.4400000000005</v>
      </c>
      <c r="M168" s="13">
        <v>6486.45</v>
      </c>
      <c r="N168" s="13">
        <v>6814.68</v>
      </c>
      <c r="O168" s="13">
        <v>5986.29</v>
      </c>
      <c r="P168" s="13">
        <v>3891.87</v>
      </c>
      <c r="Q168" s="13">
        <v>3469.86</v>
      </c>
      <c r="R168" s="13">
        <v>4016.91</v>
      </c>
      <c r="S168" s="13">
        <v>4329.51</v>
      </c>
      <c r="T168" s="25">
        <f t="shared" si="87"/>
        <v>72773.009999999995</v>
      </c>
      <c r="V168" s="13">
        <f t="shared" si="74"/>
        <v>164</v>
      </c>
      <c r="W168" s="13">
        <f t="shared" si="75"/>
        <v>247.00000000000006</v>
      </c>
      <c r="X168" s="13">
        <f t="shared" si="76"/>
        <v>278</v>
      </c>
      <c r="Y168" s="13">
        <f t="shared" si="77"/>
        <v>308.33237364043504</v>
      </c>
      <c r="Z168" s="13">
        <f t="shared" si="78"/>
        <v>244.00000000000003</v>
      </c>
      <c r="AA168" s="13">
        <f t="shared" si="79"/>
        <v>207.5</v>
      </c>
      <c r="AB168" s="13">
        <f t="shared" si="80"/>
        <v>218.00000000000003</v>
      </c>
      <c r="AC168" s="13">
        <f t="shared" si="81"/>
        <v>191.5</v>
      </c>
      <c r="AD168" s="13">
        <f t="shared" si="82"/>
        <v>124.5</v>
      </c>
      <c r="AE168" s="13">
        <f t="shared" si="83"/>
        <v>111</v>
      </c>
      <c r="AF168" s="13">
        <f t="shared" si="84"/>
        <v>128.5</v>
      </c>
      <c r="AG168" s="13">
        <f t="shared" si="85"/>
        <v>138.5</v>
      </c>
      <c r="AH168" s="15">
        <f t="shared" si="72"/>
        <v>196.73603113670291</v>
      </c>
      <c r="AI168" s="15">
        <f t="shared" si="86"/>
        <v>2360.832373640435</v>
      </c>
    </row>
    <row r="169" spans="1:35" ht="12" customHeight="1" x14ac:dyDescent="0.2">
      <c r="A169" s="45" t="str">
        <f t="shared" si="88"/>
        <v>allrecyclingCRYLOCK</v>
      </c>
      <c r="B169" s="61" t="s">
        <v>888</v>
      </c>
      <c r="C169" s="58" t="s">
        <v>900</v>
      </c>
      <c r="D169" s="11">
        <v>4.3100000000000005</v>
      </c>
      <c r="E169" s="11">
        <v>4.53</v>
      </c>
      <c r="F169" s="11">
        <v>4.53</v>
      </c>
      <c r="G169" s="12"/>
      <c r="H169" s="13">
        <v>0</v>
      </c>
      <c r="I169" s="13">
        <v>0</v>
      </c>
      <c r="J169" s="13">
        <v>0</v>
      </c>
      <c r="K169" s="13">
        <v>0</v>
      </c>
      <c r="L169" s="13">
        <v>0</v>
      </c>
      <c r="M169" s="13">
        <v>0</v>
      </c>
      <c r="N169" s="13">
        <v>0</v>
      </c>
      <c r="O169" s="13">
        <v>0</v>
      </c>
      <c r="P169" s="13">
        <v>0</v>
      </c>
      <c r="Q169" s="13">
        <v>0</v>
      </c>
      <c r="R169" s="13">
        <v>0</v>
      </c>
      <c r="S169" s="13">
        <v>0</v>
      </c>
      <c r="T169" s="25">
        <f t="shared" si="87"/>
        <v>0</v>
      </c>
      <c r="V169" s="13">
        <f t="shared" si="74"/>
        <v>0</v>
      </c>
      <c r="W169" s="13">
        <f t="shared" si="75"/>
        <v>0</v>
      </c>
      <c r="X169" s="13">
        <f t="shared" si="76"/>
        <v>0</v>
      </c>
      <c r="Y169" s="13">
        <f t="shared" si="77"/>
        <v>0</v>
      </c>
      <c r="Z169" s="13">
        <f t="shared" si="78"/>
        <v>0</v>
      </c>
      <c r="AA169" s="13">
        <f t="shared" si="79"/>
        <v>0</v>
      </c>
      <c r="AB169" s="13">
        <f t="shared" si="80"/>
        <v>0</v>
      </c>
      <c r="AC169" s="13">
        <f t="shared" si="81"/>
        <v>0</v>
      </c>
      <c r="AD169" s="13">
        <f t="shared" si="82"/>
        <v>0</v>
      </c>
      <c r="AE169" s="13">
        <f t="shared" si="83"/>
        <v>0</v>
      </c>
      <c r="AF169" s="13">
        <f t="shared" si="84"/>
        <v>0</v>
      </c>
      <c r="AG169" s="13">
        <f t="shared" si="85"/>
        <v>0</v>
      </c>
      <c r="AH169" s="15">
        <f t="shared" si="72"/>
        <v>0</v>
      </c>
      <c r="AI169" s="15">
        <f t="shared" si="86"/>
        <v>0</v>
      </c>
    </row>
    <row r="170" spans="1:35" ht="12" customHeight="1" x14ac:dyDescent="0.2">
      <c r="A170" s="45" t="str">
        <f t="shared" si="88"/>
        <v>allrecycling0CRYEXC</v>
      </c>
      <c r="B170" s="61" t="s">
        <v>520</v>
      </c>
      <c r="C170" s="58" t="s">
        <v>600</v>
      </c>
      <c r="D170" s="11">
        <v>29.769999999999996</v>
      </c>
      <c r="E170" s="11">
        <v>31.259999999999998</v>
      </c>
      <c r="F170" s="11">
        <v>31.26</v>
      </c>
      <c r="G170" s="12"/>
      <c r="H170" s="13">
        <v>28.79</v>
      </c>
      <c r="I170" s="13">
        <v>265.58</v>
      </c>
      <c r="J170" s="13">
        <v>0</v>
      </c>
      <c r="K170" s="13">
        <v>28.8</v>
      </c>
      <c r="L170" s="13">
        <v>92.12</v>
      </c>
      <c r="M170" s="13">
        <v>0</v>
      </c>
      <c r="N170" s="13">
        <v>0</v>
      </c>
      <c r="O170" s="13">
        <v>79.150000000000006</v>
      </c>
      <c r="P170" s="13">
        <v>31.26</v>
      </c>
      <c r="Q170" s="13">
        <v>0</v>
      </c>
      <c r="R170" s="13">
        <v>0</v>
      </c>
      <c r="S170" s="13">
        <v>47.49</v>
      </c>
      <c r="T170" s="25">
        <f t="shared" si="87"/>
        <v>573.19000000000005</v>
      </c>
      <c r="V170" s="13">
        <f t="shared" si="74"/>
        <v>0.96708095398051741</v>
      </c>
      <c r="W170" s="13">
        <f t="shared" si="75"/>
        <v>8.9210614712798133</v>
      </c>
      <c r="X170" s="13">
        <f t="shared" si="76"/>
        <v>0</v>
      </c>
      <c r="Y170" s="13">
        <f t="shared" si="77"/>
        <v>0.92130518234165071</v>
      </c>
      <c r="Z170" s="13">
        <f t="shared" si="78"/>
        <v>2.9468969929622526</v>
      </c>
      <c r="AA170" s="13">
        <f t="shared" si="79"/>
        <v>0</v>
      </c>
      <c r="AB170" s="13">
        <f t="shared" si="80"/>
        <v>0</v>
      </c>
      <c r="AC170" s="13">
        <f t="shared" si="81"/>
        <v>2.5319897632757522</v>
      </c>
      <c r="AD170" s="13">
        <f t="shared" si="82"/>
        <v>1.0000000000000002</v>
      </c>
      <c r="AE170" s="13">
        <f t="shared" si="83"/>
        <v>0</v>
      </c>
      <c r="AF170" s="13">
        <f t="shared" si="84"/>
        <v>0</v>
      </c>
      <c r="AG170" s="13">
        <f t="shared" si="85"/>
        <v>1.5191938579654511</v>
      </c>
      <c r="AH170" s="15">
        <f t="shared" si="72"/>
        <v>1.5672940184837865</v>
      </c>
      <c r="AI170" s="15">
        <f t="shared" si="86"/>
        <v>18.807528221805438</v>
      </c>
    </row>
    <row r="171" spans="1:35" ht="12" customHeight="1" x14ac:dyDescent="0.2">
      <c r="A171" s="45" t="str">
        <f t="shared" si="88"/>
        <v>allrecyclingCRYACC</v>
      </c>
      <c r="B171" s="61" t="s">
        <v>521</v>
      </c>
      <c r="C171" s="58" t="s">
        <v>601</v>
      </c>
      <c r="D171" s="11">
        <v>11.389999999999999</v>
      </c>
      <c r="E171" s="11">
        <v>11.96</v>
      </c>
      <c r="F171" s="11">
        <v>11.96</v>
      </c>
      <c r="G171" s="12"/>
      <c r="H171" s="13">
        <v>3431.41</v>
      </c>
      <c r="I171" s="13">
        <v>3445.3999999999996</v>
      </c>
      <c r="J171" s="13">
        <v>3462.2699999999995</v>
      </c>
      <c r="K171" s="13">
        <v>3625.3199999999997</v>
      </c>
      <c r="L171" s="13">
        <v>3676.2400000000002</v>
      </c>
      <c r="M171" s="13">
        <v>3694.63</v>
      </c>
      <c r="N171" s="13">
        <v>3740.4100000000003</v>
      </c>
      <c r="O171" s="13">
        <v>3707.91</v>
      </c>
      <c r="P171" s="13">
        <v>3713.6600000000003</v>
      </c>
      <c r="Q171" s="13">
        <v>3747.4600000000005</v>
      </c>
      <c r="R171" s="13">
        <v>3807.21</v>
      </c>
      <c r="S171" s="13">
        <v>3872.99</v>
      </c>
      <c r="T171" s="25">
        <f t="shared" si="87"/>
        <v>43924.909999999996</v>
      </c>
      <c r="V171" s="13">
        <f t="shared" si="74"/>
        <v>301.26514486391574</v>
      </c>
      <c r="W171" s="13">
        <f t="shared" si="75"/>
        <v>302.49341527655838</v>
      </c>
      <c r="X171" s="13">
        <f t="shared" si="76"/>
        <v>303.97453906935908</v>
      </c>
      <c r="Y171" s="13">
        <f t="shared" si="77"/>
        <v>303.1204013377926</v>
      </c>
      <c r="Z171" s="13">
        <f t="shared" si="78"/>
        <v>307.37792642140465</v>
      </c>
      <c r="AA171" s="13">
        <f t="shared" si="79"/>
        <v>308.91555183946485</v>
      </c>
      <c r="AB171" s="13">
        <f t="shared" si="80"/>
        <v>312.74331103678929</v>
      </c>
      <c r="AC171" s="13">
        <f t="shared" si="81"/>
        <v>310.02591973244142</v>
      </c>
      <c r="AD171" s="13">
        <f t="shared" si="82"/>
        <v>310.50668896321071</v>
      </c>
      <c r="AE171" s="13">
        <f t="shared" si="83"/>
        <v>313.33277591973246</v>
      </c>
      <c r="AF171" s="13">
        <f t="shared" si="84"/>
        <v>318.32859531772573</v>
      </c>
      <c r="AG171" s="13">
        <f t="shared" si="85"/>
        <v>323.82859531772573</v>
      </c>
      <c r="AH171" s="15">
        <f t="shared" si="72"/>
        <v>309.65940542467666</v>
      </c>
      <c r="AI171" s="15">
        <f t="shared" si="86"/>
        <v>3715.9128650961202</v>
      </c>
    </row>
    <row r="172" spans="1:35" ht="12" customHeight="1" x14ac:dyDescent="0.2">
      <c r="A172" s="45" t="str">
        <f t="shared" si="88"/>
        <v>allrecyclingCRYPLACE</v>
      </c>
      <c r="B172" s="61" t="s">
        <v>523</v>
      </c>
      <c r="C172" s="58" t="s">
        <v>603</v>
      </c>
      <c r="D172" s="11">
        <v>42.980000000000011</v>
      </c>
      <c r="E172" s="11">
        <v>45.129999999999995</v>
      </c>
      <c r="F172" s="11">
        <v>45.13</v>
      </c>
      <c r="G172" s="12"/>
      <c r="H172" s="13">
        <v>214.89999999999998</v>
      </c>
      <c r="I172" s="13">
        <v>386.82</v>
      </c>
      <c r="J172" s="13">
        <v>601.72</v>
      </c>
      <c r="K172" s="13">
        <v>354.59</v>
      </c>
      <c r="L172" s="13">
        <v>361.04</v>
      </c>
      <c r="M172" s="13">
        <v>451.29999999999995</v>
      </c>
      <c r="N172" s="13">
        <v>315.91000000000003</v>
      </c>
      <c r="O172" s="13">
        <v>315.91000000000003</v>
      </c>
      <c r="P172" s="13">
        <v>90.26</v>
      </c>
      <c r="Q172" s="13">
        <v>225.65</v>
      </c>
      <c r="R172" s="13">
        <v>406.17</v>
      </c>
      <c r="S172" s="13">
        <v>270.77999999999997</v>
      </c>
      <c r="T172" s="25">
        <f t="shared" si="87"/>
        <v>3995.05</v>
      </c>
      <c r="V172" s="13">
        <f t="shared" si="74"/>
        <v>4.9999999999999982</v>
      </c>
      <c r="W172" s="13">
        <f t="shared" si="75"/>
        <v>8.9999999999999982</v>
      </c>
      <c r="X172" s="13">
        <f t="shared" si="76"/>
        <v>13.999999999999996</v>
      </c>
      <c r="Y172" s="13">
        <f t="shared" si="77"/>
        <v>7.8570795479725239</v>
      </c>
      <c r="Z172" s="13">
        <f t="shared" si="78"/>
        <v>8.0000000000000018</v>
      </c>
      <c r="AA172" s="13">
        <f t="shared" si="79"/>
        <v>10</v>
      </c>
      <c r="AB172" s="13">
        <f t="shared" si="80"/>
        <v>7.0000000000000009</v>
      </c>
      <c r="AC172" s="13">
        <f t="shared" si="81"/>
        <v>7.0000000000000009</v>
      </c>
      <c r="AD172" s="13">
        <f t="shared" si="82"/>
        <v>2.0000000000000004</v>
      </c>
      <c r="AE172" s="13">
        <f t="shared" si="83"/>
        <v>5</v>
      </c>
      <c r="AF172" s="13">
        <f t="shared" si="84"/>
        <v>9</v>
      </c>
      <c r="AG172" s="13">
        <f t="shared" si="85"/>
        <v>5.9999999999999991</v>
      </c>
      <c r="AH172" s="15">
        <f t="shared" si="72"/>
        <v>7.4880899623310428</v>
      </c>
      <c r="AI172" s="15">
        <f t="shared" si="86"/>
        <v>89.857079547972518</v>
      </c>
    </row>
    <row r="173" spans="1:35" ht="12" customHeight="1" x14ac:dyDescent="0.2">
      <c r="A173" s="45" t="str">
        <f t="shared" si="88"/>
        <v>allrecyclingYDMRENT</v>
      </c>
      <c r="B173" s="61" t="s">
        <v>1177</v>
      </c>
      <c r="C173" s="58" t="s">
        <v>1178</v>
      </c>
      <c r="D173" s="11">
        <v>8.11</v>
      </c>
      <c r="E173" s="11">
        <v>8.11</v>
      </c>
      <c r="F173" s="11">
        <v>8.11</v>
      </c>
      <c r="G173" s="12"/>
      <c r="H173" s="12">
        <v>92.759999999999991</v>
      </c>
      <c r="I173" s="12">
        <v>88.509999999999991</v>
      </c>
      <c r="J173" s="12">
        <v>89.77000000000001</v>
      </c>
      <c r="K173" s="12">
        <v>76.199999999999989</v>
      </c>
      <c r="L173" s="12">
        <v>41.75</v>
      </c>
      <c r="M173" s="12">
        <v>32.47</v>
      </c>
      <c r="N173" s="12">
        <v>32.47</v>
      </c>
      <c r="O173" s="13">
        <v>34.379999999999995</v>
      </c>
      <c r="P173" s="13">
        <v>34.379999999999995</v>
      </c>
      <c r="Q173" s="13">
        <v>35.459999999999994</v>
      </c>
      <c r="R173" s="13">
        <v>35.459999999999994</v>
      </c>
      <c r="S173" s="13">
        <v>35.459999999999994</v>
      </c>
      <c r="T173" s="25">
        <f>SUM(H173:S173)</f>
        <v>629.07000000000005</v>
      </c>
      <c r="V173" s="13">
        <f t="shared" si="74"/>
        <v>11.437731196054253</v>
      </c>
      <c r="W173" s="13">
        <f t="shared" si="75"/>
        <v>10.913686806411837</v>
      </c>
      <c r="X173" s="13">
        <f t="shared" si="76"/>
        <v>11.069050554870532</v>
      </c>
      <c r="Y173" s="13">
        <f t="shared" si="77"/>
        <v>9.3958076448828596</v>
      </c>
      <c r="Z173" s="13">
        <f t="shared" si="78"/>
        <v>5.1479654747225654</v>
      </c>
      <c r="AA173" s="13">
        <f t="shared" si="79"/>
        <v>4.0036991368680646</v>
      </c>
      <c r="AB173" s="13">
        <f t="shared" si="80"/>
        <v>4.0036991368680646</v>
      </c>
      <c r="AC173" s="13">
        <f t="shared" si="81"/>
        <v>4.239210850801479</v>
      </c>
      <c r="AD173" s="13">
        <f t="shared" si="82"/>
        <v>4.239210850801479</v>
      </c>
      <c r="AE173" s="13">
        <f t="shared" si="83"/>
        <v>4.372379778051787</v>
      </c>
      <c r="AF173" s="13">
        <f t="shared" si="84"/>
        <v>4.372379778051787</v>
      </c>
      <c r="AG173" s="13">
        <f t="shared" si="85"/>
        <v>4.372379778051787</v>
      </c>
      <c r="AH173" s="15">
        <f>+IFERROR(AVERAGE(V173:AG173),0)</f>
        <v>6.4639334155363768</v>
      </c>
      <c r="AI173" s="15">
        <f>+SUM(V173:AG173)</f>
        <v>77.567200986436518</v>
      </c>
    </row>
    <row r="174" spans="1:35" ht="12" customHeight="1" x14ac:dyDescent="0.2">
      <c r="A174" s="45" t="str">
        <f t="shared" si="88"/>
        <v>allrecyclingCRYRO</v>
      </c>
      <c r="B174" s="61" t="s">
        <v>524</v>
      </c>
      <c r="C174" s="58" t="s">
        <v>604</v>
      </c>
      <c r="D174" s="11">
        <v>11.389999999999999</v>
      </c>
      <c r="E174" s="11">
        <v>11.96</v>
      </c>
      <c r="F174" s="11">
        <v>11.96</v>
      </c>
      <c r="G174" s="12"/>
      <c r="H174" s="13">
        <v>2697.61</v>
      </c>
      <c r="I174" s="13">
        <v>2731.13</v>
      </c>
      <c r="J174" s="13">
        <v>2773.83</v>
      </c>
      <c r="K174" s="13">
        <v>2924.85</v>
      </c>
      <c r="L174" s="13">
        <v>2950.47</v>
      </c>
      <c r="M174" s="13">
        <v>2996.46</v>
      </c>
      <c r="N174" s="13">
        <v>3064.05</v>
      </c>
      <c r="O174" s="13">
        <v>3071.51</v>
      </c>
      <c r="P174" s="13">
        <v>3043.6800000000003</v>
      </c>
      <c r="Q174" s="13">
        <v>3057.2500000000005</v>
      </c>
      <c r="R174" s="13">
        <v>3100.3</v>
      </c>
      <c r="S174" s="13">
        <v>3149.58</v>
      </c>
      <c r="T174" s="25">
        <f t="shared" si="87"/>
        <v>35560.719999999994</v>
      </c>
      <c r="V174" s="13">
        <f t="shared" si="74"/>
        <v>236.84021071115018</v>
      </c>
      <c r="W174" s="13">
        <f t="shared" si="75"/>
        <v>239.7831431079895</v>
      </c>
      <c r="X174" s="13">
        <f t="shared" si="76"/>
        <v>243.53204565408254</v>
      </c>
      <c r="Y174" s="13">
        <f t="shared" si="77"/>
        <v>244.55267558528425</v>
      </c>
      <c r="Z174" s="13">
        <f t="shared" si="78"/>
        <v>246.69481605351166</v>
      </c>
      <c r="AA174" s="13">
        <f t="shared" si="79"/>
        <v>250.54013377926421</v>
      </c>
      <c r="AB174" s="13">
        <f t="shared" si="80"/>
        <v>256.19147157190633</v>
      </c>
      <c r="AC174" s="13">
        <f t="shared" si="81"/>
        <v>256.81521739130437</v>
      </c>
      <c r="AD174" s="13">
        <f t="shared" si="82"/>
        <v>254.48829431438128</v>
      </c>
      <c r="AE174" s="13">
        <f t="shared" si="83"/>
        <v>255.62290969899666</v>
      </c>
      <c r="AF174" s="13">
        <f t="shared" si="84"/>
        <v>259.22240802675583</v>
      </c>
      <c r="AG174" s="13">
        <f t="shared" si="85"/>
        <v>263.34280936454849</v>
      </c>
      <c r="AH174" s="15">
        <f t="shared" si="72"/>
        <v>250.63551127159792</v>
      </c>
      <c r="AI174" s="15">
        <f t="shared" si="86"/>
        <v>3007.626135259175</v>
      </c>
    </row>
    <row r="175" spans="1:35" ht="12" customHeight="1" x14ac:dyDescent="0.2">
      <c r="A175" s="45" t="str">
        <f t="shared" si="88"/>
        <v>allrecyclingCRYTRIP</v>
      </c>
      <c r="B175" s="61" t="s">
        <v>536</v>
      </c>
      <c r="C175" s="58" t="s">
        <v>616</v>
      </c>
      <c r="D175" s="11">
        <v>20.720000000000002</v>
      </c>
      <c r="E175" s="11">
        <v>21.759999999999994</v>
      </c>
      <c r="F175" s="11">
        <v>21.759999999999994</v>
      </c>
      <c r="G175" s="11"/>
      <c r="H175" s="13">
        <v>0</v>
      </c>
      <c r="I175" s="13">
        <v>41.44</v>
      </c>
      <c r="J175" s="13">
        <v>103.6</v>
      </c>
      <c r="K175" s="13">
        <v>45.600000000000009</v>
      </c>
      <c r="L175" s="13">
        <v>172</v>
      </c>
      <c r="M175" s="13">
        <v>239.36</v>
      </c>
      <c r="N175" s="13">
        <v>65.28</v>
      </c>
      <c r="O175" s="13">
        <v>152.32000000000002</v>
      </c>
      <c r="P175" s="13">
        <v>43.52</v>
      </c>
      <c r="Q175" s="13">
        <v>0</v>
      </c>
      <c r="R175" s="13">
        <v>65.28</v>
      </c>
      <c r="S175" s="13">
        <v>0</v>
      </c>
      <c r="T175" s="25">
        <f t="shared" si="87"/>
        <v>928.4</v>
      </c>
      <c r="V175" s="13">
        <f t="shared" si="74"/>
        <v>0</v>
      </c>
      <c r="W175" s="13">
        <f t="shared" si="75"/>
        <v>1.9999999999999996</v>
      </c>
      <c r="X175" s="13">
        <f t="shared" si="76"/>
        <v>4.9999999999999991</v>
      </c>
      <c r="Y175" s="13">
        <f t="shared" si="77"/>
        <v>2.0955882352941186</v>
      </c>
      <c r="Z175" s="13">
        <f t="shared" si="78"/>
        <v>7.904411764705884</v>
      </c>
      <c r="AA175" s="13">
        <f t="shared" si="79"/>
        <v>11.000000000000004</v>
      </c>
      <c r="AB175" s="13">
        <f t="shared" si="80"/>
        <v>3.0000000000000009</v>
      </c>
      <c r="AC175" s="13">
        <f t="shared" si="81"/>
        <v>7.0000000000000027</v>
      </c>
      <c r="AD175" s="13">
        <f t="shared" si="82"/>
        <v>2.0000000000000004</v>
      </c>
      <c r="AE175" s="13">
        <f t="shared" si="83"/>
        <v>0</v>
      </c>
      <c r="AF175" s="13">
        <f t="shared" si="84"/>
        <v>3.0000000000000009</v>
      </c>
      <c r="AG175" s="13">
        <f t="shared" si="85"/>
        <v>0</v>
      </c>
      <c r="AH175" s="15">
        <f t="shared" si="72"/>
        <v>3.5833333333333339</v>
      </c>
      <c r="AI175" s="15">
        <f t="shared" si="86"/>
        <v>43.000000000000007</v>
      </c>
    </row>
    <row r="176" spans="1:35" ht="12" customHeight="1" x14ac:dyDescent="0.2">
      <c r="A176" s="45" t="str">
        <f>"all"&amp;"recycling"&amp;B176</f>
        <v>allrecyclingRC1Y1W</v>
      </c>
      <c r="B176" s="61" t="s">
        <v>687</v>
      </c>
      <c r="C176" s="58" t="s">
        <v>210</v>
      </c>
      <c r="D176" s="11">
        <v>128.29</v>
      </c>
      <c r="E176" s="11">
        <v>128.29</v>
      </c>
      <c r="F176" s="11">
        <v>128.29</v>
      </c>
      <c r="G176" s="11"/>
      <c r="H176" s="13">
        <v>101.6</v>
      </c>
      <c r="I176" s="13">
        <v>101.6</v>
      </c>
      <c r="J176" s="13">
        <v>101.6</v>
      </c>
      <c r="K176" s="13">
        <v>101.6</v>
      </c>
      <c r="L176" s="13">
        <v>101.6</v>
      </c>
      <c r="M176" s="13">
        <v>101.6</v>
      </c>
      <c r="N176" s="13">
        <v>101.6</v>
      </c>
      <c r="O176" s="13">
        <v>101.6</v>
      </c>
      <c r="P176" s="13">
        <v>101.6</v>
      </c>
      <c r="Q176" s="13">
        <v>101.6</v>
      </c>
      <c r="R176" s="13">
        <v>0</v>
      </c>
      <c r="S176" s="13">
        <v>0</v>
      </c>
      <c r="T176" s="25">
        <f>SUM(H176:S176)</f>
        <v>1016.0000000000001</v>
      </c>
      <c r="V176" s="13">
        <f t="shared" si="74"/>
        <v>0.79195572530984493</v>
      </c>
      <c r="W176" s="13">
        <f t="shared" si="75"/>
        <v>0.79195572530984493</v>
      </c>
      <c r="X176" s="13">
        <f t="shared" si="76"/>
        <v>0.79195572530984493</v>
      </c>
      <c r="Y176" s="13">
        <f t="shared" si="77"/>
        <v>0.79195572530984493</v>
      </c>
      <c r="Z176" s="13">
        <f t="shared" si="78"/>
        <v>0.79195572530984493</v>
      </c>
      <c r="AA176" s="13">
        <f t="shared" si="79"/>
        <v>0.79195572530984493</v>
      </c>
      <c r="AB176" s="13">
        <f t="shared" si="80"/>
        <v>0.79195572530984493</v>
      </c>
      <c r="AC176" s="13">
        <f t="shared" si="81"/>
        <v>0.79195572530984493</v>
      </c>
      <c r="AD176" s="13">
        <f t="shared" si="82"/>
        <v>0.79195572530984493</v>
      </c>
      <c r="AE176" s="13">
        <f t="shared" si="83"/>
        <v>0.79195572530984493</v>
      </c>
      <c r="AF176" s="13">
        <f t="shared" si="84"/>
        <v>0</v>
      </c>
      <c r="AG176" s="13">
        <f t="shared" si="85"/>
        <v>0</v>
      </c>
      <c r="AH176" s="15">
        <f>+IFERROR(AVERAGE(V176:AG176),0)</f>
        <v>0.65996310442487072</v>
      </c>
      <c r="AI176" s="15">
        <f>+SUM(V176:AG176)</f>
        <v>7.919557253098449</v>
      </c>
    </row>
    <row r="177" spans="1:45" ht="12" customHeight="1" x14ac:dyDescent="0.2">
      <c r="A177" s="45" t="str">
        <f>"all"&amp;"recycling"&amp;B177</f>
        <v>allrecyclingCRPLACE</v>
      </c>
      <c r="B177" s="61" t="s">
        <v>522</v>
      </c>
      <c r="C177" s="58" t="s">
        <v>602</v>
      </c>
      <c r="D177" s="11">
        <v>14.14</v>
      </c>
      <c r="E177" s="11">
        <v>14.14</v>
      </c>
      <c r="F177" s="11">
        <v>14.14</v>
      </c>
      <c r="G177" s="12"/>
      <c r="H177" s="12">
        <v>62.6</v>
      </c>
      <c r="I177" s="12">
        <v>46.95</v>
      </c>
      <c r="J177" s="12">
        <v>123.69</v>
      </c>
      <c r="K177" s="12">
        <v>78.25</v>
      </c>
      <c r="L177" s="12">
        <v>45.44</v>
      </c>
      <c r="M177" s="12">
        <v>46.95</v>
      </c>
      <c r="N177" s="12">
        <v>15.65</v>
      </c>
      <c r="O177" s="13">
        <v>31.3</v>
      </c>
      <c r="P177" s="13">
        <v>109.55000000000001</v>
      </c>
      <c r="Q177" s="13">
        <v>32.15</v>
      </c>
      <c r="R177" s="13">
        <v>48.65</v>
      </c>
      <c r="S177" s="13">
        <v>0</v>
      </c>
      <c r="T177" s="13">
        <f>SUM(H177:S177)</f>
        <v>641.17999999999995</v>
      </c>
      <c r="V177" s="13">
        <f t="shared" si="74"/>
        <v>4.427157001414427</v>
      </c>
      <c r="W177" s="13">
        <f t="shared" si="75"/>
        <v>3.3203677510608203</v>
      </c>
      <c r="X177" s="13">
        <f t="shared" si="76"/>
        <v>8.7475247524752469</v>
      </c>
      <c r="Y177" s="13">
        <f t="shared" si="77"/>
        <v>5.5339462517680333</v>
      </c>
      <c r="Z177" s="13">
        <f t="shared" si="78"/>
        <v>3.2135785007072131</v>
      </c>
      <c r="AA177" s="13">
        <f t="shared" si="79"/>
        <v>3.3203677510608203</v>
      </c>
      <c r="AB177" s="13">
        <f t="shared" si="80"/>
        <v>1.1067892503536068</v>
      </c>
      <c r="AC177" s="13">
        <f t="shared" si="81"/>
        <v>2.2135785007072135</v>
      </c>
      <c r="AD177" s="13">
        <f t="shared" si="82"/>
        <v>7.7475247524752477</v>
      </c>
      <c r="AE177" s="13">
        <f t="shared" si="83"/>
        <v>2.2736916548797734</v>
      </c>
      <c r="AF177" s="13">
        <f t="shared" si="84"/>
        <v>3.4405940594059405</v>
      </c>
      <c r="AG177" s="13">
        <f t="shared" si="85"/>
        <v>0</v>
      </c>
      <c r="AH177" s="15">
        <f>+IFERROR(AVERAGE(V177:AG177),0)</f>
        <v>3.7787600188590287</v>
      </c>
      <c r="AI177" s="15">
        <f>+SUM(V177:AG177)</f>
        <v>45.345120226308346</v>
      </c>
    </row>
    <row r="178" spans="1:45" ht="12" customHeight="1" x14ac:dyDescent="0.2">
      <c r="A178" s="45" t="str">
        <f>"all"&amp;"recycling"&amp;B178</f>
        <v>allrecyclingRC1YPR</v>
      </c>
      <c r="B178" s="61" t="s">
        <v>701</v>
      </c>
      <c r="C178" s="58" t="s">
        <v>709</v>
      </c>
      <c r="D178" s="11"/>
      <c r="E178" s="11">
        <v>13.56</v>
      </c>
      <c r="F178" s="11">
        <v>13.56</v>
      </c>
      <c r="G178" s="11"/>
      <c r="H178" s="291">
        <v>13.6</v>
      </c>
      <c r="I178" s="13">
        <v>13.6</v>
      </c>
      <c r="J178" s="13">
        <v>13.6</v>
      </c>
      <c r="K178" s="13">
        <v>13.6</v>
      </c>
      <c r="L178" s="13">
        <v>13.6</v>
      </c>
      <c r="M178" s="13">
        <v>13.6</v>
      </c>
      <c r="N178" s="13">
        <v>13.6</v>
      </c>
      <c r="O178" s="13">
        <v>13.6</v>
      </c>
      <c r="P178" s="13">
        <v>13.6</v>
      </c>
      <c r="Q178" s="13">
        <v>13.6</v>
      </c>
      <c r="R178" s="13">
        <v>0</v>
      </c>
      <c r="S178" s="13">
        <v>0</v>
      </c>
      <c r="T178" s="25">
        <f>SUM(H178:S178)</f>
        <v>135.99999999999997</v>
      </c>
      <c r="V178" s="13">
        <f t="shared" si="74"/>
        <v>0</v>
      </c>
      <c r="W178" s="13">
        <f t="shared" si="75"/>
        <v>0</v>
      </c>
      <c r="X178" s="13">
        <f t="shared" si="76"/>
        <v>0</v>
      </c>
      <c r="Y178" s="13">
        <f t="shared" si="77"/>
        <v>1.0029498525073746</v>
      </c>
      <c r="Z178" s="13">
        <f t="shared" si="78"/>
        <v>1.0029498525073746</v>
      </c>
      <c r="AA178" s="13">
        <f t="shared" si="79"/>
        <v>1.0029498525073746</v>
      </c>
      <c r="AB178" s="13">
        <f t="shared" si="80"/>
        <v>1.0029498525073746</v>
      </c>
      <c r="AC178" s="13">
        <f t="shared" si="81"/>
        <v>1.0029498525073746</v>
      </c>
      <c r="AD178" s="13">
        <f t="shared" si="82"/>
        <v>1.0029498525073746</v>
      </c>
      <c r="AE178" s="13">
        <f t="shared" si="83"/>
        <v>1.0029498525073746</v>
      </c>
      <c r="AF178" s="13">
        <f t="shared" si="84"/>
        <v>0</v>
      </c>
      <c r="AG178" s="13">
        <f t="shared" si="85"/>
        <v>0</v>
      </c>
      <c r="AH178" s="15">
        <f>+IFERROR(AVERAGE(V178:AG178),0)</f>
        <v>0.58505408062930175</v>
      </c>
      <c r="AI178" s="15">
        <f>+SUM(V178:AG178)</f>
        <v>7.0206489675516206</v>
      </c>
    </row>
    <row r="179" spans="1:45" ht="12" customHeight="1" x14ac:dyDescent="0.2">
      <c r="A179" s="45" t="str">
        <f t="shared" si="88"/>
        <v>allrecyclingCOMMODITY</v>
      </c>
      <c r="B179" s="61" t="s">
        <v>1125</v>
      </c>
      <c r="C179" s="58" t="s">
        <v>1126</v>
      </c>
      <c r="D179" s="11">
        <v>0</v>
      </c>
      <c r="E179" s="11">
        <v>0</v>
      </c>
      <c r="F179" s="11">
        <v>0</v>
      </c>
      <c r="G179" s="11"/>
      <c r="H179" s="13">
        <v>0</v>
      </c>
      <c r="I179" s="13">
        <v>0</v>
      </c>
      <c r="J179" s="13">
        <v>0</v>
      </c>
      <c r="K179" s="13">
        <v>0</v>
      </c>
      <c r="L179" s="13">
        <v>0</v>
      </c>
      <c r="M179" s="13">
        <v>0</v>
      </c>
      <c r="N179" s="13">
        <v>0</v>
      </c>
      <c r="O179" s="13">
        <v>0</v>
      </c>
      <c r="P179" s="13">
        <v>0</v>
      </c>
      <c r="Q179" s="13">
        <v>0</v>
      </c>
      <c r="R179" s="13">
        <v>0</v>
      </c>
      <c r="S179" s="13">
        <v>0</v>
      </c>
      <c r="T179" s="25">
        <f t="shared" si="87"/>
        <v>0</v>
      </c>
      <c r="V179" s="13">
        <f t="shared" si="74"/>
        <v>0</v>
      </c>
      <c r="W179" s="13">
        <f t="shared" si="75"/>
        <v>0</v>
      </c>
      <c r="X179" s="13">
        <f t="shared" si="76"/>
        <v>0</v>
      </c>
      <c r="Y179" s="13">
        <f t="shared" si="77"/>
        <v>0</v>
      </c>
      <c r="Z179" s="13">
        <f t="shared" si="78"/>
        <v>0</v>
      </c>
      <c r="AA179" s="13">
        <f t="shared" si="79"/>
        <v>0</v>
      </c>
      <c r="AB179" s="13">
        <f t="shared" si="80"/>
        <v>0</v>
      </c>
      <c r="AC179" s="13">
        <f t="shared" si="81"/>
        <v>0</v>
      </c>
      <c r="AD179" s="13">
        <f t="shared" si="82"/>
        <v>0</v>
      </c>
      <c r="AE179" s="13">
        <f t="shared" si="83"/>
        <v>0</v>
      </c>
      <c r="AF179" s="13">
        <f t="shared" si="84"/>
        <v>0</v>
      </c>
      <c r="AG179" s="13">
        <f t="shared" si="85"/>
        <v>0</v>
      </c>
      <c r="AH179" s="15">
        <f t="shared" si="72"/>
        <v>0</v>
      </c>
      <c r="AI179" s="15">
        <f t="shared" si="86"/>
        <v>0</v>
      </c>
    </row>
    <row r="180" spans="1:45" ht="12" customHeight="1" x14ac:dyDescent="0.2">
      <c r="A180" s="45" t="str">
        <f t="shared" si="88"/>
        <v>allrecyclingWCCLEAN</v>
      </c>
      <c r="B180" s="61" t="s">
        <v>537</v>
      </c>
      <c r="C180" s="58" t="s">
        <v>617</v>
      </c>
      <c r="D180" s="11">
        <v>11.409999999999998</v>
      </c>
      <c r="E180" s="11">
        <v>11.980000000000002</v>
      </c>
      <c r="F180" s="11">
        <v>11.98</v>
      </c>
      <c r="G180" s="11"/>
      <c r="H180" s="13">
        <v>0</v>
      </c>
      <c r="I180" s="13">
        <v>0</v>
      </c>
      <c r="J180" s="13">
        <v>0</v>
      </c>
      <c r="K180" s="13">
        <v>0</v>
      </c>
      <c r="L180" s="13">
        <v>0</v>
      </c>
      <c r="M180" s="13">
        <v>0</v>
      </c>
      <c r="N180" s="13">
        <v>0</v>
      </c>
      <c r="O180" s="13">
        <v>0</v>
      </c>
      <c r="P180" s="13">
        <v>0</v>
      </c>
      <c r="Q180" s="13">
        <v>0</v>
      </c>
      <c r="R180" s="13">
        <v>0</v>
      </c>
      <c r="S180" s="13">
        <v>0</v>
      </c>
      <c r="T180" s="25">
        <f t="shared" si="87"/>
        <v>0</v>
      </c>
      <c r="V180" s="13">
        <f t="shared" si="74"/>
        <v>0</v>
      </c>
      <c r="W180" s="13">
        <f t="shared" si="75"/>
        <v>0</v>
      </c>
      <c r="X180" s="13">
        <f t="shared" si="76"/>
        <v>0</v>
      </c>
      <c r="Y180" s="13">
        <f t="shared" si="77"/>
        <v>0</v>
      </c>
      <c r="Z180" s="13">
        <f t="shared" si="78"/>
        <v>0</v>
      </c>
      <c r="AA180" s="13">
        <f t="shared" si="79"/>
        <v>0</v>
      </c>
      <c r="AB180" s="13">
        <f t="shared" si="80"/>
        <v>0</v>
      </c>
      <c r="AC180" s="13">
        <f t="shared" si="81"/>
        <v>0</v>
      </c>
      <c r="AD180" s="13">
        <f t="shared" si="82"/>
        <v>0</v>
      </c>
      <c r="AE180" s="13">
        <f t="shared" si="83"/>
        <v>0</v>
      </c>
      <c r="AF180" s="13">
        <f t="shared" si="84"/>
        <v>0</v>
      </c>
      <c r="AG180" s="13">
        <f t="shared" si="85"/>
        <v>0</v>
      </c>
      <c r="AH180" s="15">
        <f t="shared" si="72"/>
        <v>0</v>
      </c>
      <c r="AI180" s="15">
        <f t="shared" si="86"/>
        <v>0</v>
      </c>
    </row>
    <row r="181" spans="1:45" ht="12" customHeight="1" x14ac:dyDescent="0.2">
      <c r="B181" s="26"/>
      <c r="C181" s="26"/>
      <c r="D181" s="11"/>
      <c r="E181" s="11"/>
      <c r="F181" s="11"/>
      <c r="G181" s="11"/>
      <c r="H181" s="13"/>
      <c r="I181" s="13" t="str">
        <f>IF(G181="","",(#REF!/G181)+(#REF!/#REF!))</f>
        <v/>
      </c>
      <c r="J181" s="13" t="str">
        <f t="shared" ref="J181:J186" si="89">IF(G181="","",I181/12)</f>
        <v/>
      </c>
      <c r="K181" s="25"/>
      <c r="L181" s="25"/>
      <c r="M181" s="25"/>
      <c r="N181" s="25"/>
      <c r="O181" s="25"/>
      <c r="P181" s="25"/>
      <c r="Q181" s="25"/>
      <c r="R181" s="25"/>
      <c r="S181" s="25"/>
      <c r="T181" s="25"/>
    </row>
    <row r="182" spans="1:45" ht="12" customHeight="1" x14ac:dyDescent="0.2">
      <c r="B182" s="26"/>
      <c r="C182" s="31" t="s">
        <v>28</v>
      </c>
      <c r="D182" s="11"/>
      <c r="E182" s="11"/>
      <c r="F182" s="11"/>
      <c r="G182" s="11"/>
      <c r="H182" s="23">
        <f t="shared" ref="H182:T182" si="90">SUM(H70:H181)</f>
        <v>158335.95000000004</v>
      </c>
      <c r="I182" s="23">
        <f t="shared" si="90"/>
        <v>162211.38000000006</v>
      </c>
      <c r="J182" s="23">
        <f t="shared" si="90"/>
        <v>163995.35</v>
      </c>
      <c r="K182" s="23">
        <f t="shared" si="90"/>
        <v>167521.76000000004</v>
      </c>
      <c r="L182" s="23">
        <f t="shared" si="90"/>
        <v>165255.63000000003</v>
      </c>
      <c r="M182" s="23">
        <f t="shared" si="90"/>
        <v>170698.78999999995</v>
      </c>
      <c r="N182" s="23">
        <f t="shared" si="90"/>
        <v>169125.59999999995</v>
      </c>
      <c r="O182" s="23">
        <f t="shared" si="90"/>
        <v>169039.75999999995</v>
      </c>
      <c r="P182" s="23">
        <f t="shared" si="90"/>
        <v>166291.69999999998</v>
      </c>
      <c r="Q182" s="23">
        <f t="shared" si="90"/>
        <v>165040.17000000004</v>
      </c>
      <c r="R182" s="23">
        <f t="shared" si="90"/>
        <v>165736.51999999996</v>
      </c>
      <c r="S182" s="23">
        <f t="shared" si="90"/>
        <v>167026.23999999996</v>
      </c>
      <c r="T182" s="23">
        <f t="shared" si="90"/>
        <v>1990278.8500000003</v>
      </c>
      <c r="V182" s="180">
        <f t="shared" ref="V182:AI182" si="91">SUM(V70:V132)</f>
        <v>1036.4051983608986</v>
      </c>
      <c r="W182" s="180">
        <f t="shared" si="91"/>
        <v>1042.6605203026581</v>
      </c>
      <c r="X182" s="180">
        <f t="shared" si="91"/>
        <v>1048.8503538128455</v>
      </c>
      <c r="Y182" s="180">
        <f t="shared" si="91"/>
        <v>977.14570095107058</v>
      </c>
      <c r="Z182" s="180">
        <f t="shared" si="91"/>
        <v>903.96202101789095</v>
      </c>
      <c r="AA182" s="180">
        <f t="shared" si="91"/>
        <v>1057.6295739684729</v>
      </c>
      <c r="AB182" s="180">
        <f t="shared" si="91"/>
        <v>1049.8480155810907</v>
      </c>
      <c r="AC182" s="180">
        <f t="shared" si="91"/>
        <v>1040.5087830518271</v>
      </c>
      <c r="AD182" s="180">
        <f t="shared" si="91"/>
        <v>1042.5783520862424</v>
      </c>
      <c r="AE182" s="180">
        <f t="shared" si="91"/>
        <v>1042.8525437284745</v>
      </c>
      <c r="AF182" s="180">
        <f t="shared" si="91"/>
        <v>1045.8056015882989</v>
      </c>
      <c r="AG182" s="180">
        <f t="shared" si="91"/>
        <v>1050.704896236258</v>
      </c>
      <c r="AH182" s="180">
        <f t="shared" si="91"/>
        <v>1028.2459633905023</v>
      </c>
      <c r="AI182" s="180">
        <f t="shared" si="91"/>
        <v>12338.95156068603</v>
      </c>
      <c r="AM182" s="213">
        <f>+SUM(AM70:AM180)</f>
        <v>331.25215150531011</v>
      </c>
      <c r="AO182" s="213">
        <f>+SUM(AO70:AO180)</f>
        <v>606.11981096404031</v>
      </c>
      <c r="AQ182" s="213">
        <f>+SUM(AQ70:AQ180)</f>
        <v>0</v>
      </c>
      <c r="AS182" s="213">
        <f>+SUM(AS70:AS180)</f>
        <v>0</v>
      </c>
    </row>
    <row r="183" spans="1:45" ht="12" customHeight="1" x14ac:dyDescent="0.2">
      <c r="B183" s="26"/>
      <c r="C183" s="26"/>
      <c r="D183" s="11"/>
      <c r="E183" s="11"/>
      <c r="F183" s="11"/>
      <c r="G183" s="11"/>
      <c r="H183" s="12"/>
      <c r="I183" s="13" t="str">
        <f>IF(G183="","",(#REF!/G183)+(#REF!/#REF!))</f>
        <v/>
      </c>
      <c r="J183" s="13" t="str">
        <f t="shared" si="89"/>
        <v/>
      </c>
    </row>
    <row r="184" spans="1:45" ht="12" customHeight="1" x14ac:dyDescent="0.2">
      <c r="B184" s="28" t="s">
        <v>1006</v>
      </c>
      <c r="C184" s="28" t="s">
        <v>1006</v>
      </c>
      <c r="D184" s="11"/>
      <c r="E184" s="11"/>
      <c r="F184" s="11"/>
      <c r="G184" s="11"/>
      <c r="H184" s="12"/>
      <c r="I184" s="13" t="s">
        <v>1108</v>
      </c>
      <c r="J184" s="13" t="str">
        <f t="shared" si="89"/>
        <v/>
      </c>
    </row>
    <row r="185" spans="1:45" ht="12" customHeight="1" x14ac:dyDescent="0.2">
      <c r="B185" s="28"/>
      <c r="C185" s="28"/>
      <c r="D185" s="11"/>
      <c r="E185" s="11"/>
      <c r="F185" s="11"/>
      <c r="G185" s="11"/>
      <c r="H185" s="12"/>
      <c r="I185" s="13" t="s">
        <v>1108</v>
      </c>
      <c r="J185" s="13" t="str">
        <f t="shared" si="89"/>
        <v/>
      </c>
    </row>
    <row r="186" spans="1:45" ht="12" customHeight="1" x14ac:dyDescent="0.2">
      <c r="B186" s="32" t="s">
        <v>14</v>
      </c>
      <c r="C186" s="32" t="s">
        <v>14</v>
      </c>
      <c r="D186" s="11"/>
      <c r="E186" s="11"/>
      <c r="F186" s="11"/>
      <c r="G186" s="11"/>
      <c r="H186" s="12"/>
      <c r="I186" s="13" t="s">
        <v>1108</v>
      </c>
      <c r="J186" s="13" t="str">
        <f t="shared" si="89"/>
        <v/>
      </c>
    </row>
    <row r="187" spans="1:45" ht="12" customHeight="1" x14ac:dyDescent="0.2">
      <c r="A187" s="45" t="str">
        <f>"all"&amp;"roll off"&amp;B187</f>
        <v>allroll offDRHAUL15</v>
      </c>
      <c r="B187" s="61" t="s">
        <v>618</v>
      </c>
      <c r="C187" s="58" t="s">
        <v>629</v>
      </c>
      <c r="D187" s="11">
        <v>240.5</v>
      </c>
      <c r="E187" s="11">
        <v>252.53000000000003</v>
      </c>
      <c r="F187" s="11">
        <v>252.53000000000003</v>
      </c>
      <c r="G187" s="11"/>
      <c r="H187" s="12">
        <v>3607.5</v>
      </c>
      <c r="I187" s="12">
        <v>4088.5</v>
      </c>
      <c r="J187" s="12">
        <v>4810</v>
      </c>
      <c r="K187" s="12">
        <v>3535.42</v>
      </c>
      <c r="L187" s="12">
        <v>3787.95</v>
      </c>
      <c r="M187" s="12">
        <v>3282.89</v>
      </c>
      <c r="N187" s="13">
        <v>3535.42</v>
      </c>
      <c r="O187" s="13">
        <v>3282.8900000000003</v>
      </c>
      <c r="P187" s="13">
        <v>2020.2400000000002</v>
      </c>
      <c r="Q187" s="13">
        <v>1262.6500000000001</v>
      </c>
      <c r="R187" s="13">
        <v>1767.71</v>
      </c>
      <c r="S187" s="13">
        <v>3030.36</v>
      </c>
      <c r="T187" s="13">
        <f t="shared" ref="T187:T208" si="92">SUM(H187:S187)</f>
        <v>38011.53</v>
      </c>
      <c r="V187" s="13">
        <f t="shared" ref="V187:V209" si="93">IFERROR(H187/$D187,0)</f>
        <v>15</v>
      </c>
      <c r="W187" s="13">
        <f t="shared" ref="W187:W209" si="94">IFERROR(I187/$D187,0)</f>
        <v>17</v>
      </c>
      <c r="X187" s="13">
        <f t="shared" ref="X187:X209" si="95">IFERROR(J187/$D187,0)</f>
        <v>20</v>
      </c>
      <c r="Y187" s="13">
        <f t="shared" ref="Y187:Y209" si="96">IFERROR(K187/$E187,0)</f>
        <v>13.999999999999998</v>
      </c>
      <c r="Z187" s="13">
        <f t="shared" ref="Z187:Z209" si="97">IFERROR(L187/$E187,0)</f>
        <v>14.999999999999998</v>
      </c>
      <c r="AA187" s="13">
        <f t="shared" ref="AA187:AA209" si="98">IFERROR(M187/$E187,0)</f>
        <v>12.999999999999998</v>
      </c>
      <c r="AB187" s="13">
        <f t="shared" ref="AB187:AB209" si="99">IFERROR(N187/$E187,0)</f>
        <v>13.999999999999998</v>
      </c>
      <c r="AC187" s="13">
        <f t="shared" ref="AC187:AC209" si="100">IFERROR(O187/$E187,0)</f>
        <v>13</v>
      </c>
      <c r="AD187" s="13">
        <f t="shared" ref="AD187:AD209" si="101">IFERROR(P187/$E187,0)</f>
        <v>8</v>
      </c>
      <c r="AE187" s="13">
        <f t="shared" ref="AE187:AE209" si="102">IFERROR(Q187/$F187,0)</f>
        <v>5</v>
      </c>
      <c r="AF187" s="13">
        <f t="shared" ref="AF187:AF209" si="103">IFERROR(R187/$F187,0)</f>
        <v>6.9999999999999991</v>
      </c>
      <c r="AG187" s="13">
        <f t="shared" ref="AG187:AG209" si="104">IFERROR(S187/$F187,0)</f>
        <v>11.999999999999998</v>
      </c>
      <c r="AH187" s="15">
        <f>+IFERROR(AVERAGE(V187:AG187),0)</f>
        <v>12.75</v>
      </c>
      <c r="AI187" s="15">
        <f t="shared" ref="AI187:AI209" si="105">+SUM(V187:AG187)</f>
        <v>153</v>
      </c>
      <c r="AJ187" s="84" t="s">
        <v>1356</v>
      </c>
      <c r="AM187" s="13">
        <f t="shared" ref="AM187:AM192" si="106">+$AH187*AL187</f>
        <v>0</v>
      </c>
      <c r="AO187" s="13">
        <f t="shared" ref="AO187:AO192" si="107">+$AH187*AN187</f>
        <v>0</v>
      </c>
      <c r="AP187" s="1">
        <v>1</v>
      </c>
      <c r="AQ187" s="13">
        <f t="shared" ref="AQ187:AQ192" si="108">+$AH187*AP187</f>
        <v>12.75</v>
      </c>
      <c r="AR187" s="1">
        <v>0</v>
      </c>
      <c r="AS187" s="13">
        <f t="shared" ref="AS187:AS192" si="109">+$AH187*AR187</f>
        <v>0</v>
      </c>
    </row>
    <row r="188" spans="1:45" ht="12" customHeight="1" x14ac:dyDescent="0.2">
      <c r="A188" s="45" t="str">
        <f t="shared" ref="A188:A208" si="110">"all"&amp;"roll off"&amp;B188</f>
        <v>allroll offDRHAUL20</v>
      </c>
      <c r="B188" s="61" t="s">
        <v>619</v>
      </c>
      <c r="C188" s="58" t="s">
        <v>630</v>
      </c>
      <c r="D188" s="11">
        <v>240.5</v>
      </c>
      <c r="E188" s="11">
        <v>252.53000000000003</v>
      </c>
      <c r="F188" s="11">
        <v>252.53000000000003</v>
      </c>
      <c r="G188" s="11"/>
      <c r="H188" s="12">
        <v>3607.5</v>
      </c>
      <c r="I188" s="12">
        <v>4126.5</v>
      </c>
      <c r="J188" s="12">
        <v>5829</v>
      </c>
      <c r="K188" s="12">
        <v>6007.76</v>
      </c>
      <c r="L188" s="12">
        <v>6801.2199999999993</v>
      </c>
      <c r="M188" s="12">
        <v>6060.72</v>
      </c>
      <c r="N188" s="13">
        <v>5105.2300000000005</v>
      </c>
      <c r="O188" s="13">
        <v>4733.49</v>
      </c>
      <c r="P188" s="13">
        <v>2525.3000000000002</v>
      </c>
      <c r="Q188" s="13">
        <v>2520.3900000000003</v>
      </c>
      <c r="R188" s="13">
        <v>6883.2</v>
      </c>
      <c r="S188" s="13">
        <v>6313.25</v>
      </c>
      <c r="T188" s="13">
        <f t="shared" si="92"/>
        <v>60513.560000000005</v>
      </c>
      <c r="V188" s="13">
        <f t="shared" si="93"/>
        <v>15</v>
      </c>
      <c r="W188" s="13">
        <f t="shared" si="94"/>
        <v>17.158004158004157</v>
      </c>
      <c r="X188" s="13">
        <f t="shared" si="95"/>
        <v>24.237006237006238</v>
      </c>
      <c r="Y188" s="13">
        <f t="shared" si="96"/>
        <v>23.790282342691956</v>
      </c>
      <c r="Z188" s="13">
        <f t="shared" si="97"/>
        <v>26.932324872292394</v>
      </c>
      <c r="AA188" s="13">
        <f t="shared" si="98"/>
        <v>23.999999999999996</v>
      </c>
      <c r="AB188" s="13">
        <f t="shared" si="99"/>
        <v>20.216330732982218</v>
      </c>
      <c r="AC188" s="13">
        <f t="shared" si="100"/>
        <v>18.744268007761452</v>
      </c>
      <c r="AD188" s="13">
        <f t="shared" si="101"/>
        <v>10</v>
      </c>
      <c r="AE188" s="13">
        <f t="shared" si="102"/>
        <v>9.9805567655328087</v>
      </c>
      <c r="AF188" s="13">
        <f t="shared" si="103"/>
        <v>27.256959569160095</v>
      </c>
      <c r="AG188" s="13">
        <f t="shared" si="104"/>
        <v>24.999999999999996</v>
      </c>
      <c r="AH188" s="15">
        <f t="shared" ref="AH188:AH194" si="111">+IFERROR(AVERAGE(V188:AG188),0)</f>
        <v>20.192977723785944</v>
      </c>
      <c r="AI188" s="15">
        <f t="shared" ref="AI188:AI194" si="112">+SUM(V188:AG188)</f>
        <v>242.31573268543133</v>
      </c>
      <c r="AJ188" s="84" t="s">
        <v>1356</v>
      </c>
      <c r="AM188" s="13">
        <f t="shared" si="106"/>
        <v>0</v>
      </c>
      <c r="AO188" s="13">
        <f t="shared" si="107"/>
        <v>0</v>
      </c>
      <c r="AP188" s="1">
        <v>1</v>
      </c>
      <c r="AQ188" s="13">
        <f t="shared" si="108"/>
        <v>20.192977723785944</v>
      </c>
      <c r="AR188" s="1">
        <v>0</v>
      </c>
      <c r="AS188" s="13">
        <f t="shared" si="109"/>
        <v>0</v>
      </c>
    </row>
    <row r="189" spans="1:45" ht="12" customHeight="1" x14ac:dyDescent="0.2">
      <c r="A189" s="45" t="str">
        <f t="shared" si="110"/>
        <v>allroll offDRHAUL30</v>
      </c>
      <c r="B189" s="61" t="s">
        <v>620</v>
      </c>
      <c r="C189" s="58" t="s">
        <v>631</v>
      </c>
      <c r="D189" s="11">
        <v>240.5</v>
      </c>
      <c r="E189" s="11">
        <v>252.53000000000003</v>
      </c>
      <c r="F189" s="11">
        <v>252.53000000000003</v>
      </c>
      <c r="G189" s="11"/>
      <c r="H189" s="12">
        <v>4096</v>
      </c>
      <c r="I189" s="12">
        <v>6854.5</v>
      </c>
      <c r="J189" s="12">
        <v>4392.5</v>
      </c>
      <c r="K189" s="12">
        <v>6620.41</v>
      </c>
      <c r="L189" s="12">
        <v>6632.4400000000005</v>
      </c>
      <c r="M189" s="12">
        <v>4864.7299999999996</v>
      </c>
      <c r="N189" s="13">
        <v>6127.38</v>
      </c>
      <c r="O189" s="13">
        <v>7775.8799999999992</v>
      </c>
      <c r="P189" s="13">
        <v>7456.6900000000005</v>
      </c>
      <c r="Q189" s="13">
        <v>5410.54</v>
      </c>
      <c r="R189" s="13">
        <v>6635.48</v>
      </c>
      <c r="S189" s="13">
        <v>6275.5400000000009</v>
      </c>
      <c r="T189" s="13">
        <f t="shared" si="92"/>
        <v>73142.09</v>
      </c>
      <c r="V189" s="13">
        <f t="shared" si="93"/>
        <v>17.031185031185032</v>
      </c>
      <c r="W189" s="13">
        <f t="shared" si="94"/>
        <v>28.5010395010395</v>
      </c>
      <c r="X189" s="13">
        <f t="shared" si="95"/>
        <v>18.264033264033262</v>
      </c>
      <c r="Y189" s="13">
        <f t="shared" si="96"/>
        <v>26.216330732982215</v>
      </c>
      <c r="Z189" s="13">
        <f t="shared" si="97"/>
        <v>26.263968637389617</v>
      </c>
      <c r="AA189" s="13">
        <f t="shared" si="98"/>
        <v>19.263968637389613</v>
      </c>
      <c r="AB189" s="13">
        <f t="shared" si="99"/>
        <v>24.263968637389613</v>
      </c>
      <c r="AC189" s="13">
        <f t="shared" si="100"/>
        <v>30.791905912168843</v>
      </c>
      <c r="AD189" s="13">
        <f t="shared" si="101"/>
        <v>29.527937274779234</v>
      </c>
      <c r="AE189" s="13">
        <f t="shared" si="102"/>
        <v>21.425335603690648</v>
      </c>
      <c r="AF189" s="13">
        <f t="shared" si="103"/>
        <v>26.276006811071948</v>
      </c>
      <c r="AG189" s="13">
        <f t="shared" si="104"/>
        <v>24.850671207381303</v>
      </c>
      <c r="AH189" s="15">
        <f t="shared" si="111"/>
        <v>24.389695937541735</v>
      </c>
      <c r="AI189" s="15">
        <f t="shared" si="112"/>
        <v>292.67635125050083</v>
      </c>
      <c r="AJ189" s="84" t="s">
        <v>1356</v>
      </c>
      <c r="AM189" s="13">
        <f t="shared" si="106"/>
        <v>0</v>
      </c>
      <c r="AO189" s="13">
        <f t="shared" si="107"/>
        <v>0</v>
      </c>
      <c r="AP189" s="1">
        <v>1</v>
      </c>
      <c r="AQ189" s="13">
        <f t="shared" si="108"/>
        <v>24.389695937541735</v>
      </c>
      <c r="AR189" s="1">
        <v>0</v>
      </c>
      <c r="AS189" s="13">
        <f t="shared" si="109"/>
        <v>0</v>
      </c>
    </row>
    <row r="190" spans="1:45" ht="12" customHeight="1" x14ac:dyDescent="0.2">
      <c r="A190" s="45" t="str">
        <f t="shared" si="110"/>
        <v>allroll offDRHAUL40</v>
      </c>
      <c r="B190" s="61" t="s">
        <v>621</v>
      </c>
      <c r="C190" s="58" t="s">
        <v>632</v>
      </c>
      <c r="D190" s="11">
        <v>240.5</v>
      </c>
      <c r="E190" s="11">
        <v>252.53000000000003</v>
      </c>
      <c r="F190" s="11">
        <v>252.53000000000003</v>
      </c>
      <c r="G190" s="11"/>
      <c r="H190" s="12">
        <v>10851</v>
      </c>
      <c r="I190" s="12">
        <v>3763.91</v>
      </c>
      <c r="J190" s="12">
        <v>5927.5</v>
      </c>
      <c r="K190" s="12">
        <v>6566.0999999999995</v>
      </c>
      <c r="L190" s="12">
        <v>11128.730000000001</v>
      </c>
      <c r="M190" s="12">
        <v>5176.33</v>
      </c>
      <c r="N190" s="13">
        <v>4754.6100000000006</v>
      </c>
      <c r="O190" s="13">
        <v>2615.4299999999998</v>
      </c>
      <c r="P190" s="13">
        <v>3022.77</v>
      </c>
      <c r="Q190" s="13">
        <v>2115.1800000000003</v>
      </c>
      <c r="R190" s="13">
        <v>7823.08</v>
      </c>
      <c r="S190" s="13">
        <v>4395.54</v>
      </c>
      <c r="T190" s="13">
        <f t="shared" si="92"/>
        <v>68140.179999999993</v>
      </c>
      <c r="V190" s="13">
        <f t="shared" si="93"/>
        <v>45.118503118503121</v>
      </c>
      <c r="W190" s="13">
        <f t="shared" si="94"/>
        <v>15.65035343035343</v>
      </c>
      <c r="X190" s="13">
        <f t="shared" si="95"/>
        <v>24.646569646569645</v>
      </c>
      <c r="Y190" s="13">
        <f t="shared" si="96"/>
        <v>26.001267176177084</v>
      </c>
      <c r="Z190" s="13">
        <f t="shared" si="97"/>
        <v>44.06894230388469</v>
      </c>
      <c r="AA190" s="13">
        <f t="shared" si="98"/>
        <v>20.49788143982893</v>
      </c>
      <c r="AB190" s="13">
        <f t="shared" si="99"/>
        <v>18.827901635449255</v>
      </c>
      <c r="AC190" s="13">
        <f t="shared" si="100"/>
        <v>10.356908090127904</v>
      </c>
      <c r="AD190" s="13">
        <f t="shared" si="101"/>
        <v>11.969944165049695</v>
      </c>
      <c r="AE190" s="13">
        <f t="shared" si="102"/>
        <v>8.3759553320397586</v>
      </c>
      <c r="AF190" s="13">
        <f t="shared" si="103"/>
        <v>30.978814398289309</v>
      </c>
      <c r="AG190" s="13">
        <f t="shared" si="104"/>
        <v>17.406011166990059</v>
      </c>
      <c r="AH190" s="15">
        <f t="shared" si="111"/>
        <v>22.824920991938573</v>
      </c>
      <c r="AI190" s="15">
        <f t="shared" si="112"/>
        <v>273.89905190326289</v>
      </c>
      <c r="AJ190" s="84" t="s">
        <v>1356</v>
      </c>
      <c r="AM190" s="13">
        <f t="shared" si="106"/>
        <v>0</v>
      </c>
      <c r="AO190" s="13">
        <f t="shared" si="107"/>
        <v>0</v>
      </c>
      <c r="AP190" s="1">
        <v>1</v>
      </c>
      <c r="AQ190" s="13">
        <f t="shared" si="108"/>
        <v>22.824920991938573</v>
      </c>
      <c r="AR190" s="1">
        <v>0</v>
      </c>
      <c r="AS190" s="13">
        <f t="shared" si="109"/>
        <v>0</v>
      </c>
    </row>
    <row r="191" spans="1:45" ht="12" customHeight="1" x14ac:dyDescent="0.2">
      <c r="A191" s="45" t="str">
        <f t="shared" si="110"/>
        <v>allroll offDRDEM15</v>
      </c>
      <c r="B191" s="61" t="s">
        <v>622</v>
      </c>
      <c r="C191" s="58" t="s">
        <v>633</v>
      </c>
      <c r="D191" s="11"/>
      <c r="E191" s="11"/>
      <c r="F191" s="11"/>
      <c r="G191" s="11"/>
      <c r="H191" s="12">
        <v>0</v>
      </c>
      <c r="I191" s="12">
        <v>0</v>
      </c>
      <c r="J191" s="12">
        <v>0</v>
      </c>
      <c r="K191" s="12">
        <v>0</v>
      </c>
      <c r="L191" s="12">
        <v>0</v>
      </c>
      <c r="M191" s="12">
        <v>0</v>
      </c>
      <c r="N191" s="13">
        <v>0</v>
      </c>
      <c r="O191" s="13">
        <v>0</v>
      </c>
      <c r="P191" s="13">
        <v>0</v>
      </c>
      <c r="Q191" s="13">
        <v>0</v>
      </c>
      <c r="R191" s="13">
        <v>0</v>
      </c>
      <c r="S191" s="13">
        <v>0</v>
      </c>
      <c r="T191" s="13">
        <f t="shared" si="92"/>
        <v>0</v>
      </c>
      <c r="V191" s="13">
        <f t="shared" si="93"/>
        <v>0</v>
      </c>
      <c r="W191" s="13">
        <f t="shared" si="94"/>
        <v>0</v>
      </c>
      <c r="X191" s="13">
        <f t="shared" si="95"/>
        <v>0</v>
      </c>
      <c r="Y191" s="13">
        <f t="shared" si="96"/>
        <v>0</v>
      </c>
      <c r="Z191" s="13">
        <f t="shared" si="97"/>
        <v>0</v>
      </c>
      <c r="AA191" s="13">
        <f t="shared" si="98"/>
        <v>0</v>
      </c>
      <c r="AB191" s="13">
        <f t="shared" si="99"/>
        <v>0</v>
      </c>
      <c r="AC191" s="13">
        <f t="shared" si="100"/>
        <v>0</v>
      </c>
      <c r="AD191" s="13">
        <f t="shared" si="101"/>
        <v>0</v>
      </c>
      <c r="AE191" s="13">
        <f t="shared" si="102"/>
        <v>0</v>
      </c>
      <c r="AF191" s="13">
        <f t="shared" si="103"/>
        <v>0</v>
      </c>
      <c r="AG191" s="13">
        <f t="shared" si="104"/>
        <v>0</v>
      </c>
      <c r="AH191" s="15">
        <f t="shared" si="111"/>
        <v>0</v>
      </c>
      <c r="AI191" s="15">
        <f t="shared" si="112"/>
        <v>0</v>
      </c>
      <c r="AM191" s="13">
        <f t="shared" si="106"/>
        <v>0</v>
      </c>
      <c r="AO191" s="13">
        <f t="shared" si="107"/>
        <v>0</v>
      </c>
      <c r="AP191" s="1">
        <v>1</v>
      </c>
      <c r="AQ191" s="13">
        <f t="shared" si="108"/>
        <v>0</v>
      </c>
      <c r="AR191" s="1">
        <v>0</v>
      </c>
      <c r="AS191" s="13">
        <f t="shared" si="109"/>
        <v>0</v>
      </c>
    </row>
    <row r="192" spans="1:45" ht="12" customHeight="1" x14ac:dyDescent="0.2">
      <c r="A192" s="45" t="str">
        <f t="shared" si="110"/>
        <v>allroll offDRDEM20</v>
      </c>
      <c r="B192" s="61" t="s">
        <v>623</v>
      </c>
      <c r="C192" s="58" t="s">
        <v>634</v>
      </c>
      <c r="D192" s="11"/>
      <c r="E192" s="11"/>
      <c r="F192" s="11"/>
      <c r="G192" s="11"/>
      <c r="H192" s="12">
        <v>0</v>
      </c>
      <c r="I192" s="12">
        <v>0</v>
      </c>
      <c r="J192" s="12">
        <v>0</v>
      </c>
      <c r="K192" s="12">
        <v>0</v>
      </c>
      <c r="L192" s="12">
        <v>0</v>
      </c>
      <c r="M192" s="12">
        <v>0</v>
      </c>
      <c r="N192" s="13">
        <v>0</v>
      </c>
      <c r="O192" s="13">
        <v>0</v>
      </c>
      <c r="P192" s="13">
        <v>0</v>
      </c>
      <c r="Q192" s="13">
        <v>0</v>
      </c>
      <c r="R192" s="13">
        <v>0</v>
      </c>
      <c r="S192" s="13">
        <v>0</v>
      </c>
      <c r="T192" s="13">
        <f t="shared" si="92"/>
        <v>0</v>
      </c>
      <c r="V192" s="13">
        <f t="shared" si="93"/>
        <v>0</v>
      </c>
      <c r="W192" s="13">
        <f t="shared" si="94"/>
        <v>0</v>
      </c>
      <c r="X192" s="13">
        <f t="shared" si="95"/>
        <v>0</v>
      </c>
      <c r="Y192" s="13">
        <f t="shared" si="96"/>
        <v>0</v>
      </c>
      <c r="Z192" s="13">
        <f t="shared" si="97"/>
        <v>0</v>
      </c>
      <c r="AA192" s="13">
        <f t="shared" si="98"/>
        <v>0</v>
      </c>
      <c r="AB192" s="13">
        <f t="shared" si="99"/>
        <v>0</v>
      </c>
      <c r="AC192" s="13">
        <f t="shared" si="100"/>
        <v>0</v>
      </c>
      <c r="AD192" s="13">
        <f t="shared" si="101"/>
        <v>0</v>
      </c>
      <c r="AE192" s="13">
        <f t="shared" si="102"/>
        <v>0</v>
      </c>
      <c r="AF192" s="13">
        <f t="shared" si="103"/>
        <v>0</v>
      </c>
      <c r="AG192" s="13">
        <f t="shared" si="104"/>
        <v>0</v>
      </c>
      <c r="AH192" s="15">
        <f t="shared" si="111"/>
        <v>0</v>
      </c>
      <c r="AI192" s="15">
        <f t="shared" si="112"/>
        <v>0</v>
      </c>
      <c r="AM192" s="13">
        <f t="shared" si="106"/>
        <v>0</v>
      </c>
      <c r="AO192" s="13">
        <f t="shared" si="107"/>
        <v>0</v>
      </c>
      <c r="AP192" s="1">
        <v>11</v>
      </c>
      <c r="AQ192" s="13">
        <f t="shared" si="108"/>
        <v>0</v>
      </c>
      <c r="AR192" s="1">
        <v>0</v>
      </c>
      <c r="AS192" s="13">
        <f t="shared" si="109"/>
        <v>0</v>
      </c>
    </row>
    <row r="193" spans="1:49" ht="12" customHeight="1" x14ac:dyDescent="0.2">
      <c r="A193" s="45" t="str">
        <f t="shared" si="110"/>
        <v>allroll offDRDEM30</v>
      </c>
      <c r="B193" s="61" t="s">
        <v>624</v>
      </c>
      <c r="C193" s="58" t="s">
        <v>635</v>
      </c>
      <c r="D193" s="11"/>
      <c r="E193" s="11"/>
      <c r="F193" s="11"/>
      <c r="G193" s="11"/>
      <c r="H193" s="12">
        <v>0</v>
      </c>
      <c r="I193" s="12">
        <v>0</v>
      </c>
      <c r="J193" s="12">
        <v>0</v>
      </c>
      <c r="K193" s="12">
        <v>0</v>
      </c>
      <c r="L193" s="12">
        <v>0</v>
      </c>
      <c r="M193" s="12">
        <v>0</v>
      </c>
      <c r="N193" s="13">
        <v>0</v>
      </c>
      <c r="O193" s="13">
        <v>0</v>
      </c>
      <c r="P193" s="13">
        <v>0</v>
      </c>
      <c r="Q193" s="13">
        <v>0</v>
      </c>
      <c r="R193" s="13">
        <v>0</v>
      </c>
      <c r="S193" s="13">
        <v>0</v>
      </c>
      <c r="T193" s="13">
        <f t="shared" si="92"/>
        <v>0</v>
      </c>
      <c r="V193" s="13">
        <f t="shared" si="93"/>
        <v>0</v>
      </c>
      <c r="W193" s="13">
        <f t="shared" si="94"/>
        <v>0</v>
      </c>
      <c r="X193" s="13">
        <f t="shared" si="95"/>
        <v>0</v>
      </c>
      <c r="Y193" s="13">
        <f t="shared" si="96"/>
        <v>0</v>
      </c>
      <c r="Z193" s="13">
        <f t="shared" si="97"/>
        <v>0</v>
      </c>
      <c r="AA193" s="13">
        <f t="shared" si="98"/>
        <v>0</v>
      </c>
      <c r="AB193" s="13">
        <f t="shared" si="99"/>
        <v>0</v>
      </c>
      <c r="AC193" s="13">
        <f t="shared" si="100"/>
        <v>0</v>
      </c>
      <c r="AD193" s="13">
        <f t="shared" si="101"/>
        <v>0</v>
      </c>
      <c r="AE193" s="13">
        <f t="shared" si="102"/>
        <v>0</v>
      </c>
      <c r="AF193" s="13">
        <f t="shared" si="103"/>
        <v>0</v>
      </c>
      <c r="AG193" s="13">
        <f t="shared" si="104"/>
        <v>0</v>
      </c>
      <c r="AH193" s="15">
        <f t="shared" si="111"/>
        <v>0</v>
      </c>
      <c r="AI193" s="15">
        <f t="shared" si="112"/>
        <v>0</v>
      </c>
    </row>
    <row r="194" spans="1:49" ht="12" customHeight="1" x14ac:dyDescent="0.2">
      <c r="A194" s="45" t="str">
        <f t="shared" si="110"/>
        <v>allroll offDRDEM40</v>
      </c>
      <c r="B194" s="61" t="s">
        <v>625</v>
      </c>
      <c r="C194" s="58" t="s">
        <v>636</v>
      </c>
      <c r="D194" s="11"/>
      <c r="E194" s="11"/>
      <c r="F194" s="11"/>
      <c r="G194" s="11"/>
      <c r="H194" s="12">
        <v>70.5</v>
      </c>
      <c r="I194" s="12">
        <v>70.5</v>
      </c>
      <c r="J194" s="12">
        <v>70.5</v>
      </c>
      <c r="K194" s="12">
        <v>70.5</v>
      </c>
      <c r="L194" s="12">
        <v>70.5</v>
      </c>
      <c r="M194" s="12">
        <v>70.5</v>
      </c>
      <c r="N194" s="13">
        <v>70.5</v>
      </c>
      <c r="O194" s="13">
        <v>70.5</v>
      </c>
      <c r="P194" s="13">
        <v>70.5</v>
      </c>
      <c r="Q194" s="254">
        <v>70.5</v>
      </c>
      <c r="R194" s="254">
        <v>70.5</v>
      </c>
      <c r="S194" s="13">
        <v>70.5</v>
      </c>
      <c r="T194" s="12">
        <f t="shared" si="92"/>
        <v>846</v>
      </c>
      <c r="V194" s="13">
        <f t="shared" si="93"/>
        <v>0</v>
      </c>
      <c r="W194" s="13">
        <f t="shared" si="94"/>
        <v>0</v>
      </c>
      <c r="X194" s="13">
        <f t="shared" si="95"/>
        <v>0</v>
      </c>
      <c r="Y194" s="13">
        <f t="shared" si="96"/>
        <v>0</v>
      </c>
      <c r="Z194" s="13">
        <f t="shared" si="97"/>
        <v>0</v>
      </c>
      <c r="AA194" s="13">
        <f t="shared" si="98"/>
        <v>0</v>
      </c>
      <c r="AB194" s="13">
        <f t="shared" si="99"/>
        <v>0</v>
      </c>
      <c r="AC194" s="13">
        <f t="shared" si="100"/>
        <v>0</v>
      </c>
      <c r="AD194" s="13">
        <f t="shared" si="101"/>
        <v>0</v>
      </c>
      <c r="AE194" s="13">
        <f t="shared" si="102"/>
        <v>0</v>
      </c>
      <c r="AF194" s="13">
        <f t="shared" si="103"/>
        <v>0</v>
      </c>
      <c r="AG194" s="13">
        <f t="shared" si="104"/>
        <v>0</v>
      </c>
      <c r="AH194" s="15">
        <f t="shared" si="111"/>
        <v>0</v>
      </c>
      <c r="AI194" s="15">
        <f t="shared" si="112"/>
        <v>0</v>
      </c>
    </row>
    <row r="195" spans="1:49" ht="12" customHeight="1" x14ac:dyDescent="0.2">
      <c r="A195" s="45" t="str">
        <f t="shared" si="110"/>
        <v>allroll offHAULWD/YD</v>
      </c>
      <c r="B195" s="61" t="s">
        <v>626</v>
      </c>
      <c r="C195" s="58" t="s">
        <v>637</v>
      </c>
      <c r="D195" s="11">
        <v>240.5</v>
      </c>
      <c r="E195" s="11">
        <v>252.53</v>
      </c>
      <c r="F195" s="11">
        <v>252.53000000000003</v>
      </c>
      <c r="G195" s="11"/>
      <c r="H195" s="12">
        <v>0</v>
      </c>
      <c r="I195" s="12">
        <v>240.5</v>
      </c>
      <c r="J195" s="12">
        <v>240.5</v>
      </c>
      <c r="K195" s="12">
        <v>0</v>
      </c>
      <c r="L195" s="12">
        <v>252.53</v>
      </c>
      <c r="M195" s="12">
        <v>0</v>
      </c>
      <c r="N195" s="13">
        <v>0</v>
      </c>
      <c r="O195" s="13">
        <v>0</v>
      </c>
      <c r="P195" s="13">
        <v>0</v>
      </c>
      <c r="Q195" s="13">
        <v>0</v>
      </c>
      <c r="R195" s="13">
        <v>0</v>
      </c>
      <c r="S195" s="13">
        <v>0</v>
      </c>
      <c r="T195" s="12">
        <f t="shared" si="92"/>
        <v>733.53</v>
      </c>
      <c r="V195" s="13">
        <f t="shared" si="93"/>
        <v>0</v>
      </c>
      <c r="W195" s="13">
        <f t="shared" si="94"/>
        <v>1</v>
      </c>
      <c r="X195" s="13">
        <f t="shared" si="95"/>
        <v>1</v>
      </c>
      <c r="Y195" s="13">
        <f t="shared" si="96"/>
        <v>0</v>
      </c>
      <c r="Z195" s="13">
        <f t="shared" si="97"/>
        <v>1</v>
      </c>
      <c r="AA195" s="13">
        <f t="shared" si="98"/>
        <v>0</v>
      </c>
      <c r="AB195" s="13">
        <f t="shared" si="99"/>
        <v>0</v>
      </c>
      <c r="AC195" s="13">
        <f t="shared" si="100"/>
        <v>0</v>
      </c>
      <c r="AD195" s="13">
        <f t="shared" si="101"/>
        <v>0</v>
      </c>
      <c r="AE195" s="13">
        <f t="shared" si="102"/>
        <v>0</v>
      </c>
      <c r="AF195" s="13">
        <f t="shared" si="103"/>
        <v>0</v>
      </c>
      <c r="AG195" s="13">
        <f t="shared" si="104"/>
        <v>0</v>
      </c>
      <c r="AH195" s="15">
        <f>+IFERROR(AVERAGE(V195:AG195),0)</f>
        <v>0.25</v>
      </c>
      <c r="AI195" s="15">
        <f t="shared" si="105"/>
        <v>3</v>
      </c>
      <c r="AJ195" s="84" t="s">
        <v>1356</v>
      </c>
    </row>
    <row r="196" spans="1:49" ht="12" customHeight="1" x14ac:dyDescent="0.2">
      <c r="A196" s="45" t="str">
        <f t="shared" si="110"/>
        <v>allroll offCAHAUL</v>
      </c>
      <c r="B196" s="61" t="s">
        <v>658</v>
      </c>
      <c r="C196" s="58" t="s">
        <v>667</v>
      </c>
      <c r="D196" s="11">
        <v>111.14</v>
      </c>
      <c r="E196" s="11">
        <v>114.14</v>
      </c>
      <c r="F196" s="11">
        <v>122.14000000000001</v>
      </c>
      <c r="G196" s="11"/>
      <c r="H196" s="12">
        <v>92.27</v>
      </c>
      <c r="I196" s="12">
        <v>0</v>
      </c>
      <c r="J196" s="12">
        <v>0</v>
      </c>
      <c r="K196" s="12">
        <v>0</v>
      </c>
      <c r="L196" s="12">
        <v>0</v>
      </c>
      <c r="M196" s="12">
        <v>0</v>
      </c>
      <c r="N196" s="13">
        <v>122.14</v>
      </c>
      <c r="O196" s="13">
        <v>0</v>
      </c>
      <c r="P196" s="13">
        <v>0</v>
      </c>
      <c r="Q196" s="13">
        <v>122.14</v>
      </c>
      <c r="R196" s="13">
        <v>0</v>
      </c>
      <c r="S196" s="13">
        <v>0</v>
      </c>
      <c r="T196" s="13">
        <f>SUM(H196:S196)</f>
        <v>336.55</v>
      </c>
      <c r="V196" s="13">
        <f t="shared" si="93"/>
        <v>0.83021414432247609</v>
      </c>
      <c r="W196" s="13">
        <f t="shared" si="94"/>
        <v>0</v>
      </c>
      <c r="X196" s="13">
        <f t="shared" si="95"/>
        <v>0</v>
      </c>
      <c r="Y196" s="13">
        <f t="shared" si="96"/>
        <v>0</v>
      </c>
      <c r="Z196" s="13">
        <f t="shared" si="97"/>
        <v>0</v>
      </c>
      <c r="AA196" s="13">
        <f t="shared" si="98"/>
        <v>0</v>
      </c>
      <c r="AB196" s="13">
        <f t="shared" si="99"/>
        <v>1.0700893639390223</v>
      </c>
      <c r="AC196" s="13">
        <f t="shared" si="100"/>
        <v>0</v>
      </c>
      <c r="AD196" s="13">
        <f t="shared" si="101"/>
        <v>0</v>
      </c>
      <c r="AE196" s="13">
        <f t="shared" si="102"/>
        <v>0.99999999999999989</v>
      </c>
      <c r="AF196" s="13">
        <f t="shared" si="103"/>
        <v>0</v>
      </c>
      <c r="AG196" s="13">
        <f t="shared" si="104"/>
        <v>0</v>
      </c>
      <c r="AH196" s="15">
        <f t="shared" ref="AH196:AH209" si="113">+IFERROR(AVERAGE(V196:AG196),0)</f>
        <v>0.24169195902179152</v>
      </c>
      <c r="AI196" s="15">
        <f t="shared" si="105"/>
        <v>2.9003035082614983</v>
      </c>
    </row>
    <row r="197" spans="1:49" ht="12" customHeight="1" x14ac:dyDescent="0.2">
      <c r="A197" s="45" t="str">
        <f>"all"&amp;"roll off"&amp;B197</f>
        <v>allroll offCAHAULC</v>
      </c>
      <c r="B197" s="61" t="s">
        <v>660</v>
      </c>
      <c r="C197" s="58" t="s">
        <v>669</v>
      </c>
      <c r="D197" s="11">
        <v>113.44</v>
      </c>
      <c r="E197" s="11">
        <v>113.44</v>
      </c>
      <c r="F197" s="11">
        <v>123.73600000000002</v>
      </c>
      <c r="G197" s="11"/>
      <c r="H197" s="12">
        <v>1950</v>
      </c>
      <c r="I197" s="12">
        <v>2520</v>
      </c>
      <c r="J197" s="12">
        <v>2700</v>
      </c>
      <c r="K197" s="12">
        <v>2250</v>
      </c>
      <c r="L197" s="12">
        <v>2550</v>
      </c>
      <c r="M197" s="12">
        <v>2400</v>
      </c>
      <c r="N197" s="13">
        <v>2100</v>
      </c>
      <c r="O197" s="13">
        <v>2250</v>
      </c>
      <c r="P197" s="13">
        <v>2400</v>
      </c>
      <c r="Q197" s="13">
        <v>2100</v>
      </c>
      <c r="R197" s="13">
        <v>1950</v>
      </c>
      <c r="S197" s="13">
        <v>2100</v>
      </c>
      <c r="T197" s="13">
        <f>SUM(H197:S197)</f>
        <v>27270</v>
      </c>
      <c r="V197" s="13">
        <f t="shared" si="93"/>
        <v>17.189703808180536</v>
      </c>
      <c r="W197" s="13">
        <f t="shared" si="94"/>
        <v>22.21438645980254</v>
      </c>
      <c r="X197" s="13">
        <f t="shared" si="95"/>
        <v>23.801128349788435</v>
      </c>
      <c r="Y197" s="13">
        <f t="shared" si="96"/>
        <v>19.834273624823695</v>
      </c>
      <c r="Z197" s="13">
        <f t="shared" si="97"/>
        <v>22.478843441466854</v>
      </c>
      <c r="AA197" s="13">
        <f t="shared" si="98"/>
        <v>21.156558533145276</v>
      </c>
      <c r="AB197" s="13">
        <f t="shared" si="99"/>
        <v>18.511988716502117</v>
      </c>
      <c r="AC197" s="13">
        <f t="shared" si="100"/>
        <v>19.834273624823695</v>
      </c>
      <c r="AD197" s="13">
        <f t="shared" si="101"/>
        <v>21.156558533145276</v>
      </c>
      <c r="AE197" s="13">
        <f t="shared" si="102"/>
        <v>16.971616991013121</v>
      </c>
      <c r="AF197" s="13">
        <f t="shared" si="103"/>
        <v>15.759358634512186</v>
      </c>
      <c r="AG197" s="13">
        <f t="shared" si="104"/>
        <v>16.971616991013121</v>
      </c>
      <c r="AH197" s="15">
        <f t="shared" si="113"/>
        <v>19.656692309018073</v>
      </c>
      <c r="AI197" s="15">
        <f t="shared" si="105"/>
        <v>235.88030770821686</v>
      </c>
    </row>
    <row r="198" spans="1:49" ht="12" customHeight="1" x14ac:dyDescent="0.2">
      <c r="A198" s="45" t="str">
        <f t="shared" si="110"/>
        <v>allroll offCASPEC</v>
      </c>
      <c r="B198" s="61" t="s">
        <v>1215</v>
      </c>
      <c r="C198" s="58" t="s">
        <v>1216</v>
      </c>
      <c r="D198" s="11">
        <v>0</v>
      </c>
      <c r="E198" s="11">
        <v>0</v>
      </c>
      <c r="F198" s="11">
        <v>40.26</v>
      </c>
      <c r="G198" s="11"/>
      <c r="H198" s="12">
        <v>0</v>
      </c>
      <c r="I198" s="12">
        <v>0</v>
      </c>
      <c r="J198" s="12">
        <v>0</v>
      </c>
      <c r="K198" s="12">
        <v>0</v>
      </c>
      <c r="L198" s="12">
        <v>0</v>
      </c>
      <c r="M198" s="12">
        <v>0</v>
      </c>
      <c r="N198" s="13">
        <v>0</v>
      </c>
      <c r="O198" s="13">
        <v>0</v>
      </c>
      <c r="P198" s="13">
        <v>0</v>
      </c>
      <c r="Q198" s="13">
        <v>0</v>
      </c>
      <c r="R198" s="13">
        <v>0</v>
      </c>
      <c r="S198" s="13">
        <v>0</v>
      </c>
      <c r="T198" s="13">
        <f>SUM(H198:S198)</f>
        <v>0</v>
      </c>
      <c r="V198" s="13">
        <f t="shared" si="93"/>
        <v>0</v>
      </c>
      <c r="W198" s="13">
        <f t="shared" si="94"/>
        <v>0</v>
      </c>
      <c r="X198" s="13">
        <f t="shared" si="95"/>
        <v>0</v>
      </c>
      <c r="Y198" s="13">
        <f t="shared" si="96"/>
        <v>0</v>
      </c>
      <c r="Z198" s="13">
        <f t="shared" si="97"/>
        <v>0</v>
      </c>
      <c r="AA198" s="13">
        <f t="shared" si="98"/>
        <v>0</v>
      </c>
      <c r="AB198" s="13">
        <f t="shared" si="99"/>
        <v>0</v>
      </c>
      <c r="AC198" s="13">
        <f t="shared" si="100"/>
        <v>0</v>
      </c>
      <c r="AD198" s="13">
        <f t="shared" si="101"/>
        <v>0</v>
      </c>
      <c r="AE198" s="13">
        <f t="shared" si="102"/>
        <v>0</v>
      </c>
      <c r="AF198" s="13">
        <f t="shared" si="103"/>
        <v>0</v>
      </c>
      <c r="AG198" s="13">
        <f t="shared" si="104"/>
        <v>0</v>
      </c>
      <c r="AH198" s="15">
        <f t="shared" si="113"/>
        <v>0</v>
      </c>
      <c r="AI198" s="15">
        <f t="shared" si="105"/>
        <v>0</v>
      </c>
    </row>
    <row r="199" spans="1:49" ht="12" customHeight="1" x14ac:dyDescent="0.2">
      <c r="A199" s="45" t="str">
        <f t="shared" si="110"/>
        <v>allroll offDRPLACE</v>
      </c>
      <c r="B199" s="61" t="s">
        <v>627</v>
      </c>
      <c r="C199" s="58" t="s">
        <v>638</v>
      </c>
      <c r="D199" s="11">
        <v>0</v>
      </c>
      <c r="E199" s="11">
        <v>0</v>
      </c>
      <c r="F199" s="11">
        <v>0</v>
      </c>
      <c r="G199" s="11"/>
      <c r="H199" s="12">
        <v>0</v>
      </c>
      <c r="I199" s="12">
        <v>0</v>
      </c>
      <c r="J199" s="12">
        <v>0</v>
      </c>
      <c r="K199" s="12">
        <v>0</v>
      </c>
      <c r="L199" s="12">
        <v>0</v>
      </c>
      <c r="M199" s="12">
        <v>0</v>
      </c>
      <c r="N199" s="13">
        <v>0</v>
      </c>
      <c r="O199" s="13">
        <v>0</v>
      </c>
      <c r="P199" s="13">
        <v>0</v>
      </c>
      <c r="Q199" s="13">
        <v>0</v>
      </c>
      <c r="R199" s="13">
        <v>0</v>
      </c>
      <c r="S199" s="13">
        <v>0</v>
      </c>
      <c r="T199" s="25">
        <f t="shared" si="92"/>
        <v>0</v>
      </c>
      <c r="V199" s="13">
        <f t="shared" si="93"/>
        <v>0</v>
      </c>
      <c r="W199" s="13">
        <f t="shared" si="94"/>
        <v>0</v>
      </c>
      <c r="X199" s="13">
        <f t="shared" si="95"/>
        <v>0</v>
      </c>
      <c r="Y199" s="13">
        <f t="shared" si="96"/>
        <v>0</v>
      </c>
      <c r="Z199" s="13">
        <f t="shared" si="97"/>
        <v>0</v>
      </c>
      <c r="AA199" s="13">
        <f t="shared" si="98"/>
        <v>0</v>
      </c>
      <c r="AB199" s="13">
        <f t="shared" si="99"/>
        <v>0</v>
      </c>
      <c r="AC199" s="13">
        <f t="shared" si="100"/>
        <v>0</v>
      </c>
      <c r="AD199" s="13">
        <f t="shared" si="101"/>
        <v>0</v>
      </c>
      <c r="AE199" s="13">
        <f t="shared" si="102"/>
        <v>0</v>
      </c>
      <c r="AF199" s="13">
        <f t="shared" si="103"/>
        <v>0</v>
      </c>
      <c r="AG199" s="13">
        <f t="shared" si="104"/>
        <v>0</v>
      </c>
      <c r="AH199" s="15">
        <f t="shared" si="113"/>
        <v>0</v>
      </c>
      <c r="AI199" s="15">
        <f t="shared" si="105"/>
        <v>0</v>
      </c>
    </row>
    <row r="200" spans="1:49" ht="12" customHeight="1" x14ac:dyDescent="0.2">
      <c r="A200" s="45" t="str">
        <f t="shared" si="110"/>
        <v>allroll offDRMIX</v>
      </c>
      <c r="B200" s="61" t="s">
        <v>723</v>
      </c>
      <c r="C200" s="58" t="s">
        <v>724</v>
      </c>
      <c r="D200" s="11">
        <v>3</v>
      </c>
      <c r="E200" s="11">
        <v>3</v>
      </c>
      <c r="F200" s="11">
        <v>0</v>
      </c>
      <c r="G200" s="11"/>
      <c r="H200" s="12">
        <v>194.78</v>
      </c>
      <c r="I200" s="12">
        <v>82.96</v>
      </c>
      <c r="J200" s="12">
        <v>324.12</v>
      </c>
      <c r="K200" s="12">
        <v>45.650000000000006</v>
      </c>
      <c r="L200" s="12">
        <v>513.19000000000005</v>
      </c>
      <c r="M200" s="12">
        <v>167.16</v>
      </c>
      <c r="N200" s="13">
        <v>276.76</v>
      </c>
      <c r="O200" s="13">
        <v>79.72</v>
      </c>
      <c r="P200" s="13">
        <v>251.25</v>
      </c>
      <c r="Q200" s="13">
        <v>360.75</v>
      </c>
      <c r="R200" s="13">
        <v>188.4</v>
      </c>
      <c r="S200" s="13">
        <v>387.49</v>
      </c>
      <c r="T200" s="25">
        <f t="shared" si="92"/>
        <v>2872.2300000000005</v>
      </c>
      <c r="V200" s="13">
        <f t="shared" si="93"/>
        <v>64.926666666666662</v>
      </c>
      <c r="W200" s="13">
        <f t="shared" si="94"/>
        <v>27.653333333333332</v>
      </c>
      <c r="X200" s="13">
        <f t="shared" si="95"/>
        <v>108.04</v>
      </c>
      <c r="Y200" s="13">
        <f t="shared" si="96"/>
        <v>15.216666666666669</v>
      </c>
      <c r="Z200" s="13">
        <f t="shared" si="97"/>
        <v>171.06333333333336</v>
      </c>
      <c r="AA200" s="13">
        <f t="shared" si="98"/>
        <v>55.72</v>
      </c>
      <c r="AB200" s="13">
        <f t="shared" si="99"/>
        <v>92.25333333333333</v>
      </c>
      <c r="AC200" s="13">
        <f t="shared" si="100"/>
        <v>26.573333333333334</v>
      </c>
      <c r="AD200" s="13">
        <f t="shared" si="101"/>
        <v>83.75</v>
      </c>
      <c r="AE200" s="13">
        <f t="shared" si="102"/>
        <v>0</v>
      </c>
      <c r="AF200" s="13">
        <f t="shared" si="103"/>
        <v>0</v>
      </c>
      <c r="AG200" s="13">
        <f t="shared" si="104"/>
        <v>0</v>
      </c>
      <c r="AH200" s="15">
        <f t="shared" si="113"/>
        <v>53.766388888888891</v>
      </c>
      <c r="AI200" s="15">
        <f t="shared" si="105"/>
        <v>645.19666666666672</v>
      </c>
    </row>
    <row r="201" spans="1:49" ht="12" customHeight="1" x14ac:dyDescent="0.2">
      <c r="A201" s="45" t="str">
        <f t="shared" si="110"/>
        <v>allroll offDRHMIX30</v>
      </c>
      <c r="B201" s="61" t="s">
        <v>1143</v>
      </c>
      <c r="C201" s="58" t="s">
        <v>1144</v>
      </c>
      <c r="D201" s="11">
        <v>218.63999999999996</v>
      </c>
      <c r="E201" s="11">
        <v>252.53000000000003</v>
      </c>
      <c r="F201" s="11">
        <v>252.53000000000003</v>
      </c>
      <c r="G201" s="11"/>
      <c r="H201" s="12">
        <v>0</v>
      </c>
      <c r="I201" s="12">
        <v>0</v>
      </c>
      <c r="J201" s="12">
        <v>0</v>
      </c>
      <c r="K201" s="12">
        <v>0</v>
      </c>
      <c r="L201" s="12">
        <v>0</v>
      </c>
      <c r="M201" s="12">
        <v>0</v>
      </c>
      <c r="N201" s="13">
        <v>0</v>
      </c>
      <c r="O201" s="13">
        <v>0</v>
      </c>
      <c r="P201" s="13">
        <v>0</v>
      </c>
      <c r="Q201" s="13">
        <v>0</v>
      </c>
      <c r="R201" s="13">
        <v>0</v>
      </c>
      <c r="S201" s="13">
        <v>0</v>
      </c>
      <c r="T201" s="25">
        <f>SUM(H201:S201)</f>
        <v>0</v>
      </c>
      <c r="V201" s="13">
        <f t="shared" si="93"/>
        <v>0</v>
      </c>
      <c r="W201" s="13">
        <f t="shared" si="94"/>
        <v>0</v>
      </c>
      <c r="X201" s="13">
        <f t="shared" si="95"/>
        <v>0</v>
      </c>
      <c r="Y201" s="13">
        <f t="shared" si="96"/>
        <v>0</v>
      </c>
      <c r="Z201" s="13">
        <f t="shared" si="97"/>
        <v>0</v>
      </c>
      <c r="AA201" s="13">
        <f t="shared" si="98"/>
        <v>0</v>
      </c>
      <c r="AB201" s="13">
        <f t="shared" si="99"/>
        <v>0</v>
      </c>
      <c r="AC201" s="13">
        <f t="shared" si="100"/>
        <v>0</v>
      </c>
      <c r="AD201" s="13">
        <f t="shared" si="101"/>
        <v>0</v>
      </c>
      <c r="AE201" s="13">
        <f t="shared" si="102"/>
        <v>0</v>
      </c>
      <c r="AF201" s="13">
        <f t="shared" si="103"/>
        <v>0</v>
      </c>
      <c r="AG201" s="13">
        <f t="shared" si="104"/>
        <v>0</v>
      </c>
      <c r="AH201" s="15">
        <f t="shared" si="113"/>
        <v>0</v>
      </c>
      <c r="AI201" s="15">
        <f t="shared" si="105"/>
        <v>0</v>
      </c>
    </row>
    <row r="202" spans="1:49" ht="12" customHeight="1" x14ac:dyDescent="0.2">
      <c r="A202" s="45" t="str">
        <f t="shared" si="110"/>
        <v>allroll offDRHMIX40</v>
      </c>
      <c r="B202" s="61" t="s">
        <v>1145</v>
      </c>
      <c r="C202" s="58" t="s">
        <v>1146</v>
      </c>
      <c r="D202" s="11">
        <v>218.63999999999996</v>
      </c>
      <c r="E202" s="11">
        <v>252.53000000000003</v>
      </c>
      <c r="F202" s="11">
        <v>252.53000000000003</v>
      </c>
      <c r="G202" s="11"/>
      <c r="H202" s="12">
        <v>0</v>
      </c>
      <c r="I202" s="12">
        <v>0</v>
      </c>
      <c r="J202" s="12">
        <v>0</v>
      </c>
      <c r="K202" s="12">
        <v>0</v>
      </c>
      <c r="L202" s="12">
        <v>0</v>
      </c>
      <c r="M202" s="12">
        <v>0</v>
      </c>
      <c r="N202" s="13">
        <v>0</v>
      </c>
      <c r="O202" s="13">
        <v>0</v>
      </c>
      <c r="P202" s="13">
        <v>0</v>
      </c>
      <c r="Q202" s="13">
        <v>0</v>
      </c>
      <c r="R202" s="13">
        <v>0</v>
      </c>
      <c r="S202" s="13">
        <v>0</v>
      </c>
      <c r="T202" s="25">
        <f>SUM(H202:S202)</f>
        <v>0</v>
      </c>
      <c r="V202" s="13">
        <f t="shared" si="93"/>
        <v>0</v>
      </c>
      <c r="W202" s="13">
        <f t="shared" si="94"/>
        <v>0</v>
      </c>
      <c r="X202" s="13">
        <f t="shared" si="95"/>
        <v>0</v>
      </c>
      <c r="Y202" s="13">
        <f t="shared" si="96"/>
        <v>0</v>
      </c>
      <c r="Z202" s="13">
        <f t="shared" si="97"/>
        <v>0</v>
      </c>
      <c r="AA202" s="13">
        <f t="shared" si="98"/>
        <v>0</v>
      </c>
      <c r="AB202" s="13">
        <f t="shared" si="99"/>
        <v>0</v>
      </c>
      <c r="AC202" s="13">
        <f t="shared" si="100"/>
        <v>0</v>
      </c>
      <c r="AD202" s="13">
        <f t="shared" si="101"/>
        <v>0</v>
      </c>
      <c r="AE202" s="13">
        <f t="shared" si="102"/>
        <v>0</v>
      </c>
      <c r="AF202" s="13">
        <f t="shared" si="103"/>
        <v>0</v>
      </c>
      <c r="AG202" s="13">
        <f t="shared" si="104"/>
        <v>0</v>
      </c>
      <c r="AH202" s="15">
        <f t="shared" si="113"/>
        <v>0</v>
      </c>
      <c r="AI202" s="15">
        <f t="shared" si="105"/>
        <v>0</v>
      </c>
    </row>
    <row r="203" spans="1:49" ht="12" customHeight="1" x14ac:dyDescent="0.2">
      <c r="A203" s="45" t="str">
        <f>"all"&amp;"roll off"&amp;B203</f>
        <v>allroll offDRHMIX20</v>
      </c>
      <c r="B203" s="61" t="s">
        <v>1147</v>
      </c>
      <c r="C203" s="58" t="s">
        <v>1148</v>
      </c>
      <c r="D203" s="11">
        <v>218.63999999999996</v>
      </c>
      <c r="E203" s="11">
        <v>252.53000000000003</v>
      </c>
      <c r="F203" s="11">
        <v>252.53000000000003</v>
      </c>
      <c r="G203" s="11"/>
      <c r="H203" s="12">
        <v>0</v>
      </c>
      <c r="I203" s="12">
        <v>0</v>
      </c>
      <c r="J203" s="12">
        <v>0</v>
      </c>
      <c r="K203" s="12">
        <v>0</v>
      </c>
      <c r="L203" s="12">
        <v>0</v>
      </c>
      <c r="M203" s="12">
        <v>0</v>
      </c>
      <c r="N203" s="13">
        <v>0</v>
      </c>
      <c r="O203" s="13">
        <v>0</v>
      </c>
      <c r="P203" s="13">
        <v>0</v>
      </c>
      <c r="Q203" s="13">
        <v>0</v>
      </c>
      <c r="R203" s="13">
        <v>0</v>
      </c>
      <c r="S203" s="13">
        <v>0</v>
      </c>
      <c r="T203" s="25">
        <f>SUM(H203:S203)</f>
        <v>0</v>
      </c>
      <c r="V203" s="13">
        <f t="shared" si="93"/>
        <v>0</v>
      </c>
      <c r="W203" s="13">
        <f t="shared" si="94"/>
        <v>0</v>
      </c>
      <c r="X203" s="13">
        <f t="shared" si="95"/>
        <v>0</v>
      </c>
      <c r="Y203" s="13">
        <f t="shared" si="96"/>
        <v>0</v>
      </c>
      <c r="Z203" s="13">
        <f t="shared" si="97"/>
        <v>0</v>
      </c>
      <c r="AA203" s="13">
        <f t="shared" si="98"/>
        <v>0</v>
      </c>
      <c r="AB203" s="13">
        <f t="shared" si="99"/>
        <v>0</v>
      </c>
      <c r="AC203" s="13">
        <f t="shared" si="100"/>
        <v>0</v>
      </c>
      <c r="AD203" s="13">
        <f t="shared" si="101"/>
        <v>0</v>
      </c>
      <c r="AE203" s="13">
        <f t="shared" si="102"/>
        <v>0</v>
      </c>
      <c r="AF203" s="13">
        <f t="shared" si="103"/>
        <v>0</v>
      </c>
      <c r="AG203" s="13">
        <f t="shared" si="104"/>
        <v>0</v>
      </c>
      <c r="AH203" s="15">
        <f>+IFERROR(AVERAGE(V203:AG203),0)</f>
        <v>0</v>
      </c>
      <c r="AI203" s="15">
        <f>+SUM(V203:AG203)</f>
        <v>0</v>
      </c>
    </row>
    <row r="204" spans="1:49" ht="12" customHeight="1" x14ac:dyDescent="0.2">
      <c r="A204" s="45" t="str">
        <f t="shared" si="110"/>
        <v>allroll offDRHMIX15   </v>
      </c>
      <c r="B204" s="61" t="s">
        <v>1153</v>
      </c>
      <c r="C204" s="58" t="s">
        <v>1154</v>
      </c>
      <c r="D204" s="11">
        <v>218.63999999999996</v>
      </c>
      <c r="E204" s="11">
        <v>252.53000000000003</v>
      </c>
      <c r="F204" s="11">
        <v>252.53000000000003</v>
      </c>
      <c r="G204" s="11"/>
      <c r="H204" s="12">
        <v>0</v>
      </c>
      <c r="I204" s="12">
        <v>0</v>
      </c>
      <c r="J204" s="12">
        <v>0</v>
      </c>
      <c r="K204" s="12">
        <v>0</v>
      </c>
      <c r="L204" s="12">
        <v>0</v>
      </c>
      <c r="M204" s="12">
        <v>0</v>
      </c>
      <c r="N204" s="13">
        <v>252.53</v>
      </c>
      <c r="O204" s="13">
        <v>0</v>
      </c>
      <c r="P204" s="13">
        <v>0</v>
      </c>
      <c r="Q204" s="13">
        <v>0</v>
      </c>
      <c r="R204" s="13">
        <v>0</v>
      </c>
      <c r="S204" s="13">
        <v>0</v>
      </c>
      <c r="T204" s="25">
        <f>SUM(H204:S204)</f>
        <v>252.53</v>
      </c>
      <c r="V204" s="13">
        <f t="shared" si="93"/>
        <v>0</v>
      </c>
      <c r="W204" s="13">
        <f t="shared" si="94"/>
        <v>0</v>
      </c>
      <c r="X204" s="13">
        <f t="shared" si="95"/>
        <v>0</v>
      </c>
      <c r="Y204" s="13">
        <f t="shared" si="96"/>
        <v>0</v>
      </c>
      <c r="Z204" s="13">
        <f t="shared" si="97"/>
        <v>0</v>
      </c>
      <c r="AA204" s="13">
        <f t="shared" si="98"/>
        <v>0</v>
      </c>
      <c r="AB204" s="13">
        <f t="shared" si="99"/>
        <v>0.99999999999999989</v>
      </c>
      <c r="AC204" s="13">
        <f t="shared" si="100"/>
        <v>0</v>
      </c>
      <c r="AD204" s="13">
        <f t="shared" si="101"/>
        <v>0</v>
      </c>
      <c r="AE204" s="13">
        <f t="shared" si="102"/>
        <v>0</v>
      </c>
      <c r="AF204" s="13">
        <f t="shared" si="103"/>
        <v>0</v>
      </c>
      <c r="AG204" s="13">
        <f t="shared" si="104"/>
        <v>0</v>
      </c>
      <c r="AH204" s="15">
        <f t="shared" si="113"/>
        <v>8.3333333333333329E-2</v>
      </c>
      <c r="AI204" s="15">
        <f t="shared" si="105"/>
        <v>0.99999999999999989</v>
      </c>
    </row>
    <row r="205" spans="1:49" ht="12" customHeight="1" x14ac:dyDescent="0.2">
      <c r="A205" s="45" t="str">
        <f>"all"&amp;"roll off"&amp;B205</f>
        <v>allroll offDBPTRIP</v>
      </c>
      <c r="B205" s="61" t="s">
        <v>1283</v>
      </c>
      <c r="C205" s="58" t="s">
        <v>1284</v>
      </c>
      <c r="D205" s="11">
        <v>0</v>
      </c>
      <c r="E205" s="11">
        <v>95.6</v>
      </c>
      <c r="F205" s="11">
        <v>95.6</v>
      </c>
      <c r="G205" s="11"/>
      <c r="H205" s="12">
        <v>95.6</v>
      </c>
      <c r="I205" s="12">
        <v>191.2</v>
      </c>
      <c r="J205" s="12">
        <v>478</v>
      </c>
      <c r="K205" s="12">
        <v>191.2</v>
      </c>
      <c r="L205" s="12">
        <v>382.4</v>
      </c>
      <c r="M205" s="12">
        <v>191.2</v>
      </c>
      <c r="N205" s="13">
        <v>191.2</v>
      </c>
      <c r="O205" s="13">
        <v>286.79999999999995</v>
      </c>
      <c r="P205" s="13">
        <v>191.2</v>
      </c>
      <c r="Q205" s="13">
        <v>0</v>
      </c>
      <c r="R205" s="13">
        <v>95.6</v>
      </c>
      <c r="S205" s="13">
        <v>0</v>
      </c>
      <c r="T205" s="25">
        <f>SUM(H205:S205)</f>
        <v>2294.4</v>
      </c>
      <c r="V205" s="13">
        <f t="shared" si="93"/>
        <v>0</v>
      </c>
      <c r="W205" s="13">
        <f t="shared" si="94"/>
        <v>0</v>
      </c>
      <c r="X205" s="13">
        <f t="shared" si="95"/>
        <v>0</v>
      </c>
      <c r="Y205" s="13">
        <f t="shared" si="96"/>
        <v>2</v>
      </c>
      <c r="Z205" s="13">
        <f t="shared" si="97"/>
        <v>4</v>
      </c>
      <c r="AA205" s="13">
        <f t="shared" si="98"/>
        <v>2</v>
      </c>
      <c r="AB205" s="13">
        <f t="shared" si="99"/>
        <v>2</v>
      </c>
      <c r="AC205" s="13">
        <f t="shared" si="100"/>
        <v>2.9999999999999996</v>
      </c>
      <c r="AD205" s="13">
        <f t="shared" si="101"/>
        <v>2</v>
      </c>
      <c r="AE205" s="13">
        <f t="shared" si="102"/>
        <v>0</v>
      </c>
      <c r="AF205" s="13">
        <f t="shared" si="103"/>
        <v>1</v>
      </c>
      <c r="AG205" s="13">
        <f t="shared" si="104"/>
        <v>0</v>
      </c>
      <c r="AH205" s="15">
        <f t="shared" si="113"/>
        <v>1.3333333333333333</v>
      </c>
      <c r="AI205" s="15">
        <f t="shared" si="105"/>
        <v>16</v>
      </c>
    </row>
    <row r="206" spans="1:49" ht="12" customHeight="1" x14ac:dyDescent="0.2">
      <c r="A206" s="45" t="str">
        <f t="shared" si="110"/>
        <v>allroll offDRTARP</v>
      </c>
      <c r="B206" s="61" t="s">
        <v>628</v>
      </c>
      <c r="C206" s="58" t="s">
        <v>639</v>
      </c>
      <c r="D206" s="11">
        <v>10</v>
      </c>
      <c r="E206" s="11">
        <v>10</v>
      </c>
      <c r="F206" s="11">
        <v>10</v>
      </c>
      <c r="G206" s="11"/>
      <c r="H206" s="12">
        <v>0</v>
      </c>
      <c r="I206" s="12">
        <v>0</v>
      </c>
      <c r="J206" s="12">
        <v>0</v>
      </c>
      <c r="K206" s="12">
        <v>0</v>
      </c>
      <c r="L206" s="12">
        <v>0</v>
      </c>
      <c r="M206" s="12">
        <v>0</v>
      </c>
      <c r="N206" s="13">
        <v>0</v>
      </c>
      <c r="O206" s="13">
        <v>0</v>
      </c>
      <c r="P206" s="13">
        <v>0</v>
      </c>
      <c r="Q206" s="13">
        <v>0</v>
      </c>
      <c r="R206" s="13">
        <v>0</v>
      </c>
      <c r="S206" s="13">
        <v>0</v>
      </c>
      <c r="T206" s="25">
        <f t="shared" si="92"/>
        <v>0</v>
      </c>
      <c r="V206" s="13">
        <f t="shared" si="93"/>
        <v>0</v>
      </c>
      <c r="W206" s="13">
        <f t="shared" si="94"/>
        <v>0</v>
      </c>
      <c r="X206" s="13">
        <f t="shared" si="95"/>
        <v>0</v>
      </c>
      <c r="Y206" s="13">
        <f t="shared" si="96"/>
        <v>0</v>
      </c>
      <c r="Z206" s="13">
        <f t="shared" si="97"/>
        <v>0</v>
      </c>
      <c r="AA206" s="13">
        <f t="shared" si="98"/>
        <v>0</v>
      </c>
      <c r="AB206" s="13">
        <f t="shared" si="99"/>
        <v>0</v>
      </c>
      <c r="AC206" s="13">
        <f t="shared" si="100"/>
        <v>0</v>
      </c>
      <c r="AD206" s="13">
        <f t="shared" si="101"/>
        <v>0</v>
      </c>
      <c r="AE206" s="13">
        <f t="shared" si="102"/>
        <v>0</v>
      </c>
      <c r="AF206" s="13">
        <f t="shared" si="103"/>
        <v>0</v>
      </c>
      <c r="AG206" s="13">
        <f t="shared" si="104"/>
        <v>0</v>
      </c>
      <c r="AH206" s="15">
        <f t="shared" si="113"/>
        <v>0</v>
      </c>
      <c r="AI206" s="15">
        <f t="shared" si="105"/>
        <v>0</v>
      </c>
    </row>
    <row r="207" spans="1:49" ht="12.75" x14ac:dyDescent="0.2">
      <c r="A207" s="45" t="str">
        <f>B207</f>
        <v>CACOMPRNT</v>
      </c>
      <c r="B207" s="58" t="s">
        <v>666</v>
      </c>
      <c r="C207" s="11" t="s">
        <v>671</v>
      </c>
      <c r="D207" s="11"/>
      <c r="E207" s="11">
        <v>0</v>
      </c>
      <c r="F207" s="11">
        <v>240</v>
      </c>
      <c r="G207" s="12"/>
      <c r="H207" s="12">
        <v>1200</v>
      </c>
      <c r="I207" s="12">
        <v>1200</v>
      </c>
      <c r="J207" s="12">
        <v>1200</v>
      </c>
      <c r="K207" s="12">
        <v>1200</v>
      </c>
      <c r="L207" s="12">
        <v>1200</v>
      </c>
      <c r="M207" s="12">
        <v>1200</v>
      </c>
      <c r="N207" s="13">
        <v>1200</v>
      </c>
      <c r="O207" s="13">
        <v>1200</v>
      </c>
      <c r="P207" s="13">
        <v>1200</v>
      </c>
      <c r="Q207" s="13">
        <v>1200</v>
      </c>
      <c r="R207" s="13">
        <v>1200</v>
      </c>
      <c r="S207" s="13">
        <v>1200</v>
      </c>
      <c r="T207" s="12">
        <f>SUM(H207:S207)</f>
        <v>14400</v>
      </c>
      <c r="V207" s="13">
        <f t="shared" si="93"/>
        <v>0</v>
      </c>
      <c r="W207" s="13">
        <f t="shared" si="94"/>
        <v>0</v>
      </c>
      <c r="X207" s="13">
        <f t="shared" si="95"/>
        <v>0</v>
      </c>
      <c r="Y207" s="13">
        <f t="shared" si="96"/>
        <v>0</v>
      </c>
      <c r="Z207" s="13">
        <f t="shared" si="97"/>
        <v>0</v>
      </c>
      <c r="AA207" s="13">
        <f t="shared" si="98"/>
        <v>0</v>
      </c>
      <c r="AB207" s="13">
        <f t="shared" si="99"/>
        <v>0</v>
      </c>
      <c r="AC207" s="13">
        <f t="shared" si="100"/>
        <v>0</v>
      </c>
      <c r="AD207" s="13">
        <f t="shared" si="101"/>
        <v>0</v>
      </c>
      <c r="AE207" s="13">
        <f t="shared" si="102"/>
        <v>5</v>
      </c>
      <c r="AF207" s="13">
        <f t="shared" si="103"/>
        <v>5</v>
      </c>
      <c r="AG207" s="13">
        <f t="shared" si="104"/>
        <v>5</v>
      </c>
      <c r="AH207" s="15">
        <f>IFERROR(AVERAGE(V207:AG207),0)</f>
        <v>1.25</v>
      </c>
      <c r="AO207" s="1">
        <v>1</v>
      </c>
      <c r="AP207" s="15">
        <f>+AO207*AH207</f>
        <v>1.25</v>
      </c>
    </row>
    <row r="208" spans="1:49" ht="12" customHeight="1" x14ac:dyDescent="0.2">
      <c r="A208" s="45" t="str">
        <f t="shared" si="110"/>
        <v>allroll offOCC</v>
      </c>
      <c r="B208" s="61" t="s">
        <v>1013</v>
      </c>
      <c r="C208" s="58" t="s">
        <v>1014</v>
      </c>
      <c r="D208" s="11">
        <v>0</v>
      </c>
      <c r="E208" s="11">
        <v>0</v>
      </c>
      <c r="F208" s="11">
        <v>0</v>
      </c>
      <c r="G208" s="11"/>
      <c r="H208" s="12">
        <v>-603.20000000000005</v>
      </c>
      <c r="I208" s="12">
        <v>-929.5</v>
      </c>
      <c r="J208" s="12">
        <v>-612</v>
      </c>
      <c r="K208" s="12">
        <v>-625.5</v>
      </c>
      <c r="L208" s="12">
        <v>-698.5</v>
      </c>
      <c r="M208" s="12">
        <v>-771.5</v>
      </c>
      <c r="N208" s="13">
        <v>-921</v>
      </c>
      <c r="O208" s="13">
        <v>-713.35</v>
      </c>
      <c r="P208" s="13">
        <v>-812.4</v>
      </c>
      <c r="Q208" s="13">
        <v>-1114.4000000000001</v>
      </c>
      <c r="R208" s="13">
        <v>-1236.9000000000001</v>
      </c>
      <c r="S208" s="13">
        <v>-1190.8499999999999</v>
      </c>
      <c r="T208" s="25">
        <f t="shared" si="92"/>
        <v>-10229.1</v>
      </c>
      <c r="V208" s="13">
        <f t="shared" si="93"/>
        <v>0</v>
      </c>
      <c r="W208" s="13">
        <f t="shared" si="94"/>
        <v>0</v>
      </c>
      <c r="X208" s="13">
        <f t="shared" si="95"/>
        <v>0</v>
      </c>
      <c r="Y208" s="13">
        <f t="shared" si="96"/>
        <v>0</v>
      </c>
      <c r="Z208" s="13">
        <f t="shared" si="97"/>
        <v>0</v>
      </c>
      <c r="AA208" s="13">
        <f t="shared" si="98"/>
        <v>0</v>
      </c>
      <c r="AB208" s="13">
        <f t="shared" si="99"/>
        <v>0</v>
      </c>
      <c r="AC208" s="13">
        <f t="shared" si="100"/>
        <v>0</v>
      </c>
      <c r="AD208" s="13">
        <f t="shared" si="101"/>
        <v>0</v>
      </c>
      <c r="AE208" s="13">
        <f t="shared" si="102"/>
        <v>0</v>
      </c>
      <c r="AF208" s="13">
        <f t="shared" si="103"/>
        <v>0</v>
      </c>
      <c r="AG208" s="13">
        <f t="shared" si="104"/>
        <v>0</v>
      </c>
      <c r="AH208" s="15">
        <f t="shared" si="113"/>
        <v>0</v>
      </c>
      <c r="AI208" s="15">
        <f t="shared" si="105"/>
        <v>0</v>
      </c>
      <c r="AW208" s="1" t="s">
        <v>1368</v>
      </c>
    </row>
    <row r="209" spans="2:45" ht="12.75" x14ac:dyDescent="0.2">
      <c r="B209" s="58" t="s">
        <v>1123</v>
      </c>
      <c r="C209" s="58" t="s">
        <v>1124</v>
      </c>
      <c r="D209" s="11">
        <v>0</v>
      </c>
      <c r="E209" s="11">
        <v>0</v>
      </c>
      <c r="F209" s="11">
        <v>50.84</v>
      </c>
      <c r="G209" s="11"/>
      <c r="H209" s="12">
        <v>451.35</v>
      </c>
      <c r="I209" s="12">
        <v>150.9</v>
      </c>
      <c r="J209" s="12">
        <v>0</v>
      </c>
      <c r="K209" s="12">
        <v>0</v>
      </c>
      <c r="L209" s="12">
        <v>0</v>
      </c>
      <c r="M209" s="12">
        <v>50.84</v>
      </c>
      <c r="N209" s="13">
        <v>0</v>
      </c>
      <c r="O209" s="13">
        <v>0</v>
      </c>
      <c r="P209" s="13">
        <v>0</v>
      </c>
      <c r="Q209" s="13">
        <v>50.84</v>
      </c>
      <c r="R209" s="13">
        <v>0</v>
      </c>
      <c r="S209" s="13">
        <v>0</v>
      </c>
      <c r="T209" s="12">
        <f>SUM(H209:S209)</f>
        <v>703.93000000000006</v>
      </c>
      <c r="V209" s="13">
        <f t="shared" si="93"/>
        <v>0</v>
      </c>
      <c r="W209" s="13">
        <f t="shared" si="94"/>
        <v>0</v>
      </c>
      <c r="X209" s="13">
        <f t="shared" si="95"/>
        <v>0</v>
      </c>
      <c r="Y209" s="13">
        <f t="shared" si="96"/>
        <v>0</v>
      </c>
      <c r="Z209" s="13">
        <f t="shared" si="97"/>
        <v>0</v>
      </c>
      <c r="AA209" s="13">
        <f t="shared" si="98"/>
        <v>0</v>
      </c>
      <c r="AB209" s="13">
        <f t="shared" si="99"/>
        <v>0</v>
      </c>
      <c r="AC209" s="13">
        <f t="shared" si="100"/>
        <v>0</v>
      </c>
      <c r="AD209" s="13">
        <f t="shared" si="101"/>
        <v>0</v>
      </c>
      <c r="AE209" s="13">
        <f t="shared" si="102"/>
        <v>1</v>
      </c>
      <c r="AF209" s="13">
        <f t="shared" si="103"/>
        <v>0</v>
      </c>
      <c r="AG209" s="13">
        <f t="shared" si="104"/>
        <v>0</v>
      </c>
      <c r="AH209" s="15">
        <f t="shared" si="113"/>
        <v>8.3333333333333329E-2</v>
      </c>
      <c r="AI209" s="15">
        <f t="shared" si="105"/>
        <v>1</v>
      </c>
    </row>
    <row r="210" spans="2:45" ht="12" customHeight="1" x14ac:dyDescent="0.2">
      <c r="B210" s="26"/>
      <c r="C210" s="26"/>
      <c r="D210" s="11"/>
      <c r="E210" s="11"/>
      <c r="F210" s="11"/>
      <c r="G210" s="11"/>
      <c r="H210" s="12"/>
      <c r="I210" s="12"/>
      <c r="J210" s="12"/>
      <c r="K210" s="12"/>
      <c r="L210" s="12"/>
      <c r="M210" s="12"/>
      <c r="N210" s="13"/>
      <c r="O210" s="13"/>
      <c r="P210" s="13"/>
      <c r="Q210" s="13"/>
      <c r="R210" s="13"/>
      <c r="S210" s="13"/>
      <c r="T210" s="25">
        <f>SUM(H210:S210)</f>
        <v>0</v>
      </c>
    </row>
    <row r="211" spans="2:45" ht="12" customHeight="1" x14ac:dyDescent="0.2">
      <c r="B211" s="26"/>
      <c r="C211" s="31" t="s">
        <v>1007</v>
      </c>
      <c r="D211" s="11"/>
      <c r="E211" s="11"/>
      <c r="F211" s="11"/>
      <c r="G211" s="11"/>
      <c r="H211" s="23">
        <f t="shared" ref="H211:T211" si="114">SUM(H187:H210)</f>
        <v>25613.299999999996</v>
      </c>
      <c r="I211" s="23">
        <f t="shared" si="114"/>
        <v>22359.97</v>
      </c>
      <c r="J211" s="23">
        <f t="shared" si="114"/>
        <v>25360.12</v>
      </c>
      <c r="K211" s="23">
        <f t="shared" si="114"/>
        <v>25861.54</v>
      </c>
      <c r="L211" s="23">
        <f t="shared" si="114"/>
        <v>32620.460000000006</v>
      </c>
      <c r="M211" s="23">
        <f t="shared" si="114"/>
        <v>22692.87</v>
      </c>
      <c r="N211" s="23">
        <f t="shared" si="114"/>
        <v>22814.77</v>
      </c>
      <c r="O211" s="23">
        <f t="shared" si="114"/>
        <v>21581.360000000001</v>
      </c>
      <c r="P211" s="23">
        <f t="shared" si="114"/>
        <v>18325.55</v>
      </c>
      <c r="Q211" s="23">
        <f t="shared" si="114"/>
        <v>14098.59</v>
      </c>
      <c r="R211" s="23">
        <f t="shared" si="114"/>
        <v>25377.07</v>
      </c>
      <c r="S211" s="23">
        <f t="shared" si="114"/>
        <v>22581.830000000005</v>
      </c>
      <c r="T211" s="23">
        <f t="shared" si="114"/>
        <v>279287.43</v>
      </c>
      <c r="V211" s="182">
        <f t="shared" ref="V211:AI211" si="115">+SUM(V187:V190,V195)</f>
        <v>92.14968814968816</v>
      </c>
      <c r="W211" s="182">
        <f t="shared" si="115"/>
        <v>79.309397089397095</v>
      </c>
      <c r="X211" s="182">
        <f t="shared" si="115"/>
        <v>88.147609147609145</v>
      </c>
      <c r="Y211" s="182">
        <f t="shared" si="115"/>
        <v>90.007880251851248</v>
      </c>
      <c r="Z211" s="182">
        <f t="shared" si="115"/>
        <v>113.2652358135667</v>
      </c>
      <c r="AA211" s="182">
        <f t="shared" si="115"/>
        <v>76.76185007721854</v>
      </c>
      <c r="AB211" s="182">
        <f t="shared" si="115"/>
        <v>77.308201005821076</v>
      </c>
      <c r="AC211" s="182">
        <f t="shared" si="115"/>
        <v>72.893082010058194</v>
      </c>
      <c r="AD211" s="182">
        <f t="shared" si="115"/>
        <v>59.49788143982893</v>
      </c>
      <c r="AE211" s="182">
        <f t="shared" si="115"/>
        <v>44.781847701263217</v>
      </c>
      <c r="AF211" s="182">
        <f t="shared" si="115"/>
        <v>91.511780778521342</v>
      </c>
      <c r="AG211" s="182">
        <f t="shared" si="115"/>
        <v>79.256682374371351</v>
      </c>
      <c r="AH211" s="182">
        <f t="shared" si="115"/>
        <v>80.407594653266244</v>
      </c>
      <c r="AI211" s="182">
        <f t="shared" si="115"/>
        <v>964.89113583919516</v>
      </c>
      <c r="AM211" s="213">
        <f>+SUM(AM187:AM209)</f>
        <v>0</v>
      </c>
      <c r="AO211" s="213">
        <f>+SUM(AO187:AO209)</f>
        <v>1</v>
      </c>
      <c r="AQ211" s="213">
        <f>+SUM(AQ187:AQ209)</f>
        <v>80.157594653266244</v>
      </c>
      <c r="AS211" s="213">
        <f>+SUM(AS187:AS209)</f>
        <v>0</v>
      </c>
    </row>
    <row r="212" spans="2:45" ht="12" customHeight="1" x14ac:dyDescent="0.2">
      <c r="B212" s="26"/>
      <c r="C212" s="26"/>
      <c r="D212" s="11"/>
      <c r="E212" s="11"/>
      <c r="F212" s="11"/>
      <c r="G212" s="11"/>
      <c r="H212" s="12"/>
      <c r="I212" s="13" t="str">
        <f>IF(G212="","",(#REF!/G212)+(#REF!/#REF!))</f>
        <v/>
      </c>
      <c r="J212" s="13" t="str">
        <f>IF(G212="","",I212/12)</f>
        <v/>
      </c>
      <c r="V212" s="25" t="s">
        <v>1173</v>
      </c>
      <c r="W212" s="25"/>
      <c r="X212" s="25"/>
      <c r="Y212" s="25"/>
      <c r="Z212" s="25"/>
      <c r="AA212" s="25"/>
      <c r="AB212" s="25"/>
      <c r="AC212" s="25"/>
      <c r="AD212" s="25"/>
      <c r="AE212" s="25"/>
      <c r="AF212" s="25"/>
      <c r="AG212" s="25"/>
    </row>
    <row r="213" spans="2:45" ht="12" customHeight="1" x14ac:dyDescent="0.2">
      <c r="B213" s="32" t="s">
        <v>16</v>
      </c>
      <c r="C213" s="32" t="s">
        <v>16</v>
      </c>
      <c r="D213" s="11"/>
      <c r="E213" s="11"/>
      <c r="F213" s="11"/>
      <c r="G213" s="12"/>
      <c r="H213" s="12"/>
      <c r="I213" s="13"/>
      <c r="J213" s="13"/>
    </row>
    <row r="214" spans="2:45" ht="12" customHeight="1" x14ac:dyDescent="0.2">
      <c r="B214" s="61" t="s">
        <v>1132</v>
      </c>
      <c r="C214" s="58" t="s">
        <v>1133</v>
      </c>
      <c r="D214" s="11">
        <v>11</v>
      </c>
      <c r="E214" s="11">
        <v>11</v>
      </c>
      <c r="F214" s="11">
        <v>11</v>
      </c>
      <c r="G214" s="20"/>
      <c r="H214" s="12">
        <v>1937</v>
      </c>
      <c r="I214" s="12">
        <v>1352</v>
      </c>
      <c r="J214" s="12">
        <v>2093</v>
      </c>
      <c r="K214" s="12">
        <v>1379</v>
      </c>
      <c r="L214" s="12">
        <v>1378</v>
      </c>
      <c r="M214" s="12">
        <v>1150.5</v>
      </c>
      <c r="N214" s="13">
        <v>2093</v>
      </c>
      <c r="O214" s="13">
        <v>1313</v>
      </c>
      <c r="P214" s="13">
        <v>1027</v>
      </c>
      <c r="Q214" s="13">
        <v>481</v>
      </c>
      <c r="R214" s="13">
        <v>713</v>
      </c>
      <c r="S214" s="13">
        <v>988</v>
      </c>
      <c r="T214" s="25">
        <f t="shared" ref="T214:T222" si="116">SUM(H214:S214)</f>
        <v>15904.5</v>
      </c>
    </row>
    <row r="215" spans="2:45" ht="12" customHeight="1" x14ac:dyDescent="0.2">
      <c r="B215" s="61" t="s">
        <v>1134</v>
      </c>
      <c r="C215" s="58" t="s">
        <v>1135</v>
      </c>
      <c r="D215" s="11">
        <v>36.51</v>
      </c>
      <c r="E215" s="11">
        <v>36.51</v>
      </c>
      <c r="F215" s="11">
        <v>36.51</v>
      </c>
      <c r="G215" s="20"/>
      <c r="H215" s="12">
        <v>1301.94</v>
      </c>
      <c r="I215" s="12">
        <v>2093.71</v>
      </c>
      <c r="J215" s="12">
        <v>1834.75</v>
      </c>
      <c r="K215" s="12">
        <v>2380.98</v>
      </c>
      <c r="L215" s="12">
        <v>2732.1499999999996</v>
      </c>
      <c r="M215" s="12">
        <v>2376.3900000000003</v>
      </c>
      <c r="N215" s="13">
        <v>1904.06</v>
      </c>
      <c r="O215" s="13">
        <v>846.37</v>
      </c>
      <c r="P215" s="13">
        <v>1641.82</v>
      </c>
      <c r="Q215" s="13">
        <v>916.18</v>
      </c>
      <c r="R215" s="13">
        <v>3176.65</v>
      </c>
      <c r="S215" s="13">
        <v>6220.87</v>
      </c>
      <c r="T215" s="25">
        <f t="shared" si="116"/>
        <v>27425.87</v>
      </c>
    </row>
    <row r="216" spans="2:45" ht="12" customHeight="1" x14ac:dyDescent="0.2">
      <c r="B216" s="61" t="s">
        <v>1136</v>
      </c>
      <c r="C216" s="58" t="s">
        <v>1137</v>
      </c>
      <c r="D216" s="11">
        <v>32.340000000000003</v>
      </c>
      <c r="E216" s="11">
        <v>32.340000000000003</v>
      </c>
      <c r="F216" s="11">
        <v>32.340000000000003</v>
      </c>
      <c r="G216" s="20"/>
      <c r="H216" s="12">
        <v>1554.47</v>
      </c>
      <c r="I216" s="12">
        <v>2322.85</v>
      </c>
      <c r="J216" s="12">
        <v>2124.5100000000002</v>
      </c>
      <c r="K216" s="12">
        <v>1368.8200000000002</v>
      </c>
      <c r="L216" s="12">
        <v>1179.3600000000001</v>
      </c>
      <c r="M216" s="12">
        <v>416.49</v>
      </c>
      <c r="N216" s="13">
        <v>1624</v>
      </c>
      <c r="O216" s="13">
        <v>917.36</v>
      </c>
      <c r="P216" s="13">
        <v>0</v>
      </c>
      <c r="Q216" s="13">
        <v>938</v>
      </c>
      <c r="R216" s="13">
        <v>432.08</v>
      </c>
      <c r="S216" s="13">
        <v>1146.95</v>
      </c>
      <c r="T216" s="25">
        <f t="shared" si="116"/>
        <v>14024.890000000001</v>
      </c>
    </row>
    <row r="217" spans="2:45" ht="12" customHeight="1" x14ac:dyDescent="0.2">
      <c r="B217" s="1" t="s">
        <v>1130</v>
      </c>
      <c r="C217" s="1" t="s">
        <v>1131</v>
      </c>
      <c r="D217" s="11">
        <v>75.2</v>
      </c>
      <c r="E217" s="11">
        <v>75.2</v>
      </c>
      <c r="F217" s="11">
        <v>75.2</v>
      </c>
      <c r="G217" s="20"/>
      <c r="H217" s="12">
        <v>8020.85</v>
      </c>
      <c r="I217" s="12">
        <v>1179.21</v>
      </c>
      <c r="J217" s="12">
        <v>2996.4</v>
      </c>
      <c r="K217" s="12">
        <v>3693.33</v>
      </c>
      <c r="L217" s="12">
        <v>3630.62</v>
      </c>
      <c r="M217" s="12">
        <v>3031.15</v>
      </c>
      <c r="N217" s="13">
        <v>2951.0299999999997</v>
      </c>
      <c r="O217" s="13">
        <v>2483.86</v>
      </c>
      <c r="P217" s="13">
        <v>2094.6099999999997</v>
      </c>
      <c r="Q217" s="13">
        <v>711.7</v>
      </c>
      <c r="R217" s="13">
        <v>1003.28</v>
      </c>
      <c r="S217" s="13">
        <v>385.77</v>
      </c>
      <c r="T217" s="25">
        <f t="shared" si="116"/>
        <v>32181.81</v>
      </c>
    </row>
    <row r="218" spans="2:45" ht="12" customHeight="1" x14ac:dyDescent="0.2">
      <c r="B218" s="1" t="s">
        <v>1140</v>
      </c>
      <c r="C218" s="1" t="s">
        <v>1141</v>
      </c>
      <c r="D218" s="11">
        <v>99.88</v>
      </c>
      <c r="E218" s="11">
        <v>99.88</v>
      </c>
      <c r="F218" s="11">
        <v>99.88</v>
      </c>
      <c r="G218" s="20"/>
      <c r="H218" s="12">
        <v>0</v>
      </c>
      <c r="I218" s="12">
        <v>0</v>
      </c>
      <c r="J218" s="12">
        <v>0</v>
      </c>
      <c r="K218" s="12">
        <v>0</v>
      </c>
      <c r="L218" s="12">
        <v>0</v>
      </c>
      <c r="M218" s="12">
        <v>0</v>
      </c>
      <c r="N218" s="13">
        <v>0</v>
      </c>
      <c r="O218" s="13">
        <v>0</v>
      </c>
      <c r="P218" s="13">
        <v>0</v>
      </c>
      <c r="Q218" s="13">
        <v>0</v>
      </c>
      <c r="R218" s="13">
        <v>0</v>
      </c>
      <c r="S218" s="13">
        <v>0</v>
      </c>
      <c r="T218" s="25">
        <f t="shared" si="116"/>
        <v>0</v>
      </c>
    </row>
    <row r="219" spans="2:45" ht="12" customHeight="1" x14ac:dyDescent="0.2">
      <c r="B219" s="61" t="s">
        <v>1138</v>
      </c>
      <c r="C219" s="58" t="s">
        <v>1139</v>
      </c>
      <c r="D219" s="11">
        <v>1.55</v>
      </c>
      <c r="E219" s="11">
        <v>1.55</v>
      </c>
      <c r="F219" s="11">
        <v>1.7</v>
      </c>
      <c r="G219" s="20"/>
      <c r="H219" s="12">
        <v>11.969999999999999</v>
      </c>
      <c r="I219" s="12">
        <v>15.39</v>
      </c>
      <c r="J219" s="12">
        <v>18.809999999999999</v>
      </c>
      <c r="K219" s="12">
        <v>17.100000000000001</v>
      </c>
      <c r="L219" s="12">
        <v>13.68</v>
      </c>
      <c r="M219" s="12">
        <v>15.3</v>
      </c>
      <c r="N219" s="13">
        <v>11.899999999999999</v>
      </c>
      <c r="O219" s="13">
        <v>15.299999999999999</v>
      </c>
      <c r="P219" s="13">
        <v>11.899999999999999</v>
      </c>
      <c r="Q219" s="13">
        <v>11.899999999999999</v>
      </c>
      <c r="R219" s="13">
        <v>-23.64</v>
      </c>
      <c r="S219" s="13">
        <v>10.199999999999999</v>
      </c>
      <c r="T219" s="25">
        <f t="shared" si="116"/>
        <v>129.81</v>
      </c>
    </row>
    <row r="220" spans="2:45" ht="12" customHeight="1" x14ac:dyDescent="0.2">
      <c r="B220" s="61" t="s">
        <v>919</v>
      </c>
      <c r="C220" s="58" t="s">
        <v>921</v>
      </c>
      <c r="D220" s="11">
        <v>0</v>
      </c>
      <c r="E220" s="11">
        <v>0</v>
      </c>
      <c r="F220" s="11">
        <v>0</v>
      </c>
      <c r="G220" s="20"/>
      <c r="H220" s="12">
        <v>100</v>
      </c>
      <c r="I220" s="12">
        <v>0</v>
      </c>
      <c r="J220" s="12">
        <v>0</v>
      </c>
      <c r="K220" s="12">
        <v>0</v>
      </c>
      <c r="L220" s="12">
        <v>75</v>
      </c>
      <c r="M220" s="12">
        <v>0</v>
      </c>
      <c r="N220" s="13">
        <v>0</v>
      </c>
      <c r="O220" s="13">
        <v>0</v>
      </c>
      <c r="P220" s="13">
        <v>0</v>
      </c>
      <c r="Q220" s="13">
        <v>0</v>
      </c>
      <c r="R220" s="13">
        <v>0</v>
      </c>
      <c r="S220" s="13">
        <v>0</v>
      </c>
      <c r="T220" s="25">
        <f t="shared" si="116"/>
        <v>175</v>
      </c>
    </row>
    <row r="221" spans="2:45" ht="12" customHeight="1" x14ac:dyDescent="0.2">
      <c r="B221" s="61" t="s">
        <v>640</v>
      </c>
      <c r="C221" s="58" t="s">
        <v>641</v>
      </c>
      <c r="D221" s="11">
        <v>0</v>
      </c>
      <c r="E221" s="11">
        <v>0</v>
      </c>
      <c r="F221" s="11">
        <v>0</v>
      </c>
      <c r="G221" s="20"/>
      <c r="H221" s="12">
        <v>120</v>
      </c>
      <c r="I221" s="12">
        <v>377</v>
      </c>
      <c r="J221" s="12">
        <v>348</v>
      </c>
      <c r="K221" s="12">
        <v>0</v>
      </c>
      <c r="L221" s="12">
        <v>275</v>
      </c>
      <c r="M221" s="12">
        <v>130</v>
      </c>
      <c r="N221" s="13">
        <v>723.25</v>
      </c>
      <c r="O221" s="13">
        <v>1369.38</v>
      </c>
      <c r="P221" s="13">
        <v>0</v>
      </c>
      <c r="Q221" s="13">
        <v>0</v>
      </c>
      <c r="R221" s="13">
        <v>3538.2</v>
      </c>
      <c r="S221" s="13">
        <v>252</v>
      </c>
      <c r="T221" s="25">
        <f t="shared" si="116"/>
        <v>7132.83</v>
      </c>
    </row>
    <row r="222" spans="2:45" s="241" customFormat="1" ht="15" x14ac:dyDescent="0.25">
      <c r="B222" s="232" t="s">
        <v>1083</v>
      </c>
      <c r="C222" s="249" t="s">
        <v>1129</v>
      </c>
      <c r="D222" s="238">
        <v>0</v>
      </c>
      <c r="E222" s="238">
        <v>0</v>
      </c>
      <c r="F222" s="238">
        <v>0</v>
      </c>
      <c r="G222" s="238"/>
      <c r="H222" s="233">
        <v>1188.81</v>
      </c>
      <c r="I222" s="233">
        <v>230.69</v>
      </c>
      <c r="J222" s="233">
        <v>731.96</v>
      </c>
      <c r="K222" s="233">
        <v>1141.55</v>
      </c>
      <c r="L222" s="233">
        <v>126.89</v>
      </c>
      <c r="M222" s="233">
        <v>-126.89</v>
      </c>
      <c r="N222" s="240">
        <v>0</v>
      </c>
      <c r="O222" s="240">
        <v>0</v>
      </c>
      <c r="P222" s="240">
        <v>0</v>
      </c>
      <c r="Q222" s="240">
        <v>0</v>
      </c>
      <c r="R222" s="240">
        <v>0</v>
      </c>
      <c r="S222" s="240">
        <v>533.66</v>
      </c>
      <c r="T222" s="233">
        <f t="shared" si="116"/>
        <v>3826.67</v>
      </c>
    </row>
    <row r="223" spans="2:45" ht="12" customHeight="1" x14ac:dyDescent="0.2">
      <c r="B223" s="30"/>
      <c r="C223" s="30"/>
      <c r="D223" s="11"/>
      <c r="E223" s="11"/>
      <c r="F223" s="11"/>
      <c r="G223" s="20"/>
      <c r="H223" s="18"/>
      <c r="I223" s="13"/>
      <c r="J223" s="13"/>
    </row>
    <row r="224" spans="2:45" ht="12" customHeight="1" x14ac:dyDescent="0.2">
      <c r="B224" s="26"/>
      <c r="C224" s="31" t="s">
        <v>17</v>
      </c>
      <c r="D224" s="11"/>
      <c r="E224" s="11"/>
      <c r="F224" s="11"/>
      <c r="G224" s="20"/>
      <c r="H224" s="23">
        <f t="shared" ref="H224:T224" si="117">SUM(H214:H223)</f>
        <v>14235.039999999999</v>
      </c>
      <c r="I224" s="23">
        <f t="shared" si="117"/>
        <v>7570.8499999999995</v>
      </c>
      <c r="J224" s="23">
        <f t="shared" si="117"/>
        <v>10147.43</v>
      </c>
      <c r="K224" s="23">
        <f t="shared" si="117"/>
        <v>9980.7800000000007</v>
      </c>
      <c r="L224" s="23">
        <f t="shared" si="117"/>
        <v>9410.7000000000007</v>
      </c>
      <c r="M224" s="23">
        <f t="shared" si="117"/>
        <v>6992.9400000000005</v>
      </c>
      <c r="N224" s="23">
        <f t="shared" si="117"/>
        <v>9307.24</v>
      </c>
      <c r="O224" s="23">
        <f t="shared" si="117"/>
        <v>6945.27</v>
      </c>
      <c r="P224" s="23">
        <f t="shared" si="117"/>
        <v>4775.329999999999</v>
      </c>
      <c r="Q224" s="23">
        <f t="shared" si="117"/>
        <v>3058.78</v>
      </c>
      <c r="R224" s="23">
        <f t="shared" si="117"/>
        <v>8839.57</v>
      </c>
      <c r="S224" s="23">
        <f t="shared" si="117"/>
        <v>9537.4500000000007</v>
      </c>
      <c r="T224" s="23">
        <f t="shared" si="117"/>
        <v>100801.37999999999</v>
      </c>
    </row>
    <row r="225" spans="2:49" ht="12" customHeight="1" x14ac:dyDescent="0.2">
      <c r="B225" s="30"/>
      <c r="C225" s="30"/>
      <c r="D225" s="11"/>
      <c r="E225" s="11"/>
      <c r="F225" s="11"/>
      <c r="G225" s="20"/>
      <c r="H225" s="18"/>
      <c r="I225" s="13"/>
      <c r="J225" s="13"/>
    </row>
    <row r="226" spans="2:49" ht="12" customHeight="1" x14ac:dyDescent="0.2">
      <c r="B226" s="9" t="s">
        <v>18</v>
      </c>
      <c r="C226" s="9" t="s">
        <v>18</v>
      </c>
      <c r="D226" s="11"/>
      <c r="E226" s="11"/>
      <c r="F226" s="11"/>
      <c r="G226" s="20"/>
      <c r="H226" s="18"/>
      <c r="I226" s="13"/>
      <c r="J226" s="13"/>
    </row>
    <row r="227" spans="2:49" ht="12" customHeight="1" x14ac:dyDescent="0.2">
      <c r="B227" s="60"/>
      <c r="C227" s="60"/>
      <c r="D227" s="11"/>
      <c r="E227" s="11"/>
      <c r="F227" s="11"/>
      <c r="G227" s="20"/>
      <c r="H227" s="18"/>
      <c r="I227" s="13"/>
      <c r="J227" s="13"/>
      <c r="T227" s="25">
        <f>SUM(H227:S227)</f>
        <v>0</v>
      </c>
    </row>
    <row r="228" spans="2:49" ht="12" customHeight="1" x14ac:dyDescent="0.2">
      <c r="B228" s="60"/>
      <c r="C228" s="60"/>
      <c r="D228" s="11"/>
      <c r="E228" s="11"/>
      <c r="F228" s="11"/>
      <c r="G228" s="20"/>
      <c r="H228" s="18"/>
      <c r="I228" s="13"/>
      <c r="J228" s="13"/>
      <c r="P228" s="16"/>
    </row>
    <row r="229" spans="2:49" ht="12" customHeight="1" x14ac:dyDescent="0.2">
      <c r="B229" s="30"/>
      <c r="C229" s="30"/>
      <c r="D229" s="11"/>
      <c r="E229" s="11"/>
      <c r="F229" s="11"/>
      <c r="G229" s="20"/>
      <c r="H229" s="23">
        <f ca="1">+SUM(H227,OFFSET(H229,-1,0))</f>
        <v>0</v>
      </c>
      <c r="I229" s="23">
        <f t="shared" ref="I229:T229" ca="1" si="118">+SUM(I227,OFFSET(I229,-1,0))</f>
        <v>0</v>
      </c>
      <c r="J229" s="23">
        <f t="shared" ca="1" si="118"/>
        <v>0</v>
      </c>
      <c r="K229" s="23">
        <f t="shared" ca="1" si="118"/>
        <v>0</v>
      </c>
      <c r="L229" s="23">
        <f t="shared" ca="1" si="118"/>
        <v>0</v>
      </c>
      <c r="M229" s="23">
        <f t="shared" ca="1" si="118"/>
        <v>0</v>
      </c>
      <c r="N229" s="23">
        <f t="shared" ca="1" si="118"/>
        <v>0</v>
      </c>
      <c r="O229" s="23">
        <f t="shared" ca="1" si="118"/>
        <v>0</v>
      </c>
      <c r="P229" s="23">
        <f t="shared" ca="1" si="118"/>
        <v>0</v>
      </c>
      <c r="Q229" s="23">
        <f t="shared" ca="1" si="118"/>
        <v>0</v>
      </c>
      <c r="R229" s="23">
        <f t="shared" ca="1" si="118"/>
        <v>0</v>
      </c>
      <c r="S229" s="23">
        <f t="shared" ca="1" si="118"/>
        <v>0</v>
      </c>
      <c r="T229" s="23">
        <f t="shared" ca="1" si="118"/>
        <v>0</v>
      </c>
    </row>
    <row r="230" spans="2:49" ht="12" customHeight="1" x14ac:dyDescent="0.2">
      <c r="B230" s="26"/>
      <c r="C230" s="31" t="s">
        <v>1358</v>
      </c>
      <c r="D230" s="11"/>
      <c r="E230" s="11"/>
      <c r="F230" s="11"/>
      <c r="G230" s="20"/>
      <c r="H230" s="18"/>
      <c r="I230" s="13"/>
      <c r="J230" s="13"/>
    </row>
    <row r="231" spans="2:49" ht="12" customHeight="1" x14ac:dyDescent="0.2">
      <c r="D231" s="11"/>
      <c r="E231" s="11"/>
      <c r="F231" s="11"/>
      <c r="G231" s="21"/>
    </row>
    <row r="232" spans="2:49" ht="12" customHeight="1" x14ac:dyDescent="0.2">
      <c r="B232" s="26"/>
      <c r="C232" s="31"/>
      <c r="D232" s="11"/>
      <c r="E232" s="11"/>
      <c r="F232" s="11"/>
      <c r="G232" s="21"/>
      <c r="H232" s="41"/>
      <c r="I232" s="41"/>
      <c r="J232" s="41"/>
      <c r="K232" s="41"/>
      <c r="L232" s="41"/>
      <c r="M232" s="41"/>
      <c r="N232" s="41"/>
      <c r="O232" s="41"/>
      <c r="P232" s="41"/>
      <c r="Q232" s="41"/>
      <c r="R232" s="41"/>
      <c r="S232" s="41"/>
      <c r="T232" s="41"/>
    </row>
    <row r="233" spans="2:49" ht="12" customHeight="1" x14ac:dyDescent="0.2">
      <c r="B233" s="30"/>
      <c r="C233" s="30"/>
      <c r="D233" s="11"/>
      <c r="E233" s="11"/>
      <c r="F233" s="11"/>
      <c r="G233" s="11"/>
      <c r="H233" s="12"/>
      <c r="I233" s="13" t="str">
        <f>IF(G233="","",(#REF!/G233)+(#REF!/#REF!))</f>
        <v/>
      </c>
      <c r="J233" s="13" t="str">
        <f>IF(G233="","",I233/12)</f>
        <v/>
      </c>
      <c r="V233" s="25"/>
      <c r="W233" s="25"/>
      <c r="X233" s="25"/>
      <c r="Y233" s="25"/>
      <c r="Z233" s="25"/>
      <c r="AA233" s="25"/>
      <c r="AB233" s="25"/>
      <c r="AC233" s="25"/>
      <c r="AD233" s="25"/>
      <c r="AE233" s="25"/>
      <c r="AF233" s="25"/>
      <c r="AG233" s="25"/>
    </row>
    <row r="234" spans="2:49" ht="12" customHeight="1" x14ac:dyDescent="0.2"/>
    <row r="235" spans="2:49" ht="12" customHeight="1" thickBot="1" x14ac:dyDescent="0.25">
      <c r="C235" s="17" t="s">
        <v>25</v>
      </c>
      <c r="H235" s="24">
        <f t="shared" ref="H235:T235" ca="1" si="119">SUM(H38,H45,H65,H182,H211,H224,H229)</f>
        <v>1128219.9100000001</v>
      </c>
      <c r="I235" s="24">
        <f t="shared" ca="1" si="119"/>
        <v>1152259.3250000002</v>
      </c>
      <c r="J235" s="24">
        <f t="shared" ca="1" si="119"/>
        <v>1173036.6700000002</v>
      </c>
      <c r="K235" s="24">
        <f t="shared" ca="1" si="119"/>
        <v>1162744.9850000001</v>
      </c>
      <c r="L235" s="24">
        <f t="shared" ca="1" si="119"/>
        <v>1175573.1149999998</v>
      </c>
      <c r="M235" s="24">
        <f t="shared" ca="1" si="119"/>
        <v>1163776.4450000003</v>
      </c>
      <c r="N235" s="24">
        <f t="shared" ca="1" si="119"/>
        <v>1171199.575</v>
      </c>
      <c r="O235" s="24">
        <f t="shared" ca="1" si="119"/>
        <v>1164798.925</v>
      </c>
      <c r="P235" s="24">
        <f t="shared" ca="1" si="119"/>
        <v>1173375.8</v>
      </c>
      <c r="Q235" s="24">
        <f t="shared" ca="1" si="119"/>
        <v>1147741.0900000003</v>
      </c>
      <c r="R235" s="24">
        <f t="shared" ca="1" si="119"/>
        <v>1212386.6450000003</v>
      </c>
      <c r="S235" s="24">
        <f t="shared" ca="1" si="119"/>
        <v>1220271.1599999999</v>
      </c>
      <c r="T235" s="24">
        <f t="shared" ca="1" si="119"/>
        <v>14045383.645</v>
      </c>
      <c r="AH235" s="15">
        <f>AH38+AH45+AH65+AH182+AH211</f>
        <v>120112.60952448322</v>
      </c>
      <c r="AI235" s="15"/>
      <c r="AJ235" s="1" t="s">
        <v>1174</v>
      </c>
      <c r="AL235" s="1" t="s">
        <v>1350</v>
      </c>
      <c r="AM235" s="213">
        <f>+AM211+AM182+AM65+AM45+AM38</f>
        <v>118539.00076463551</v>
      </c>
      <c r="AO235" s="213">
        <f>+AO211+AO182+AO65+AO45+AO38</f>
        <v>607.11981096404031</v>
      </c>
      <c r="AQ235" s="213">
        <f>+AQ211+AQ182+AQ65+AQ45+AQ38</f>
        <v>80.157594653266244</v>
      </c>
      <c r="AS235" s="213">
        <f>+AS211+AS182+AS65+AS45+AS38</f>
        <v>288.8211805555556</v>
      </c>
      <c r="AW235" s="228">
        <f>AM235+AS235+AQ235+AO235</f>
        <v>119515.09935080838</v>
      </c>
    </row>
    <row r="236" spans="2:49" ht="12" customHeight="1" thickTop="1" x14ac:dyDescent="0.2"/>
    <row r="237" spans="2:49" ht="12" customHeight="1" x14ac:dyDescent="0.2">
      <c r="S237" s="96" t="s">
        <v>1112</v>
      </c>
      <c r="T237" s="95">
        <f ca="1">+T235+'Clark Co. Regulated - Price Out'!S292</f>
        <v>44831221.660000011</v>
      </c>
    </row>
    <row r="238" spans="2:49" ht="12" customHeight="1" x14ac:dyDescent="0.2">
      <c r="S238" s="1" t="s">
        <v>1113</v>
      </c>
      <c r="T238" s="14">
        <v>44832573.880000003</v>
      </c>
    </row>
    <row r="239" spans="2:49" ht="12" customHeight="1" x14ac:dyDescent="0.2">
      <c r="S239" s="1" t="s">
        <v>1116</v>
      </c>
      <c r="T239" s="14">
        <v>0</v>
      </c>
    </row>
    <row r="240" spans="2:49" ht="12" customHeight="1" x14ac:dyDescent="0.2">
      <c r="S240" s="1" t="s">
        <v>1117</v>
      </c>
      <c r="T240" s="14">
        <f ca="1">+T239+T238-T237</f>
        <v>1352.2199999913573</v>
      </c>
    </row>
    <row r="241" spans="8:20" ht="12" customHeight="1" x14ac:dyDescent="0.2">
      <c r="T241" s="197">
        <f ca="1">T240/T238</f>
        <v>3.0161551812990783E-5</v>
      </c>
    </row>
    <row r="242" spans="8:20" ht="12" customHeight="1" x14ac:dyDescent="0.2">
      <c r="T242" s="95"/>
    </row>
    <row r="243" spans="8:20" ht="12" customHeight="1" x14ac:dyDescent="0.2"/>
    <row r="244" spans="8:20" ht="12" customHeight="1" x14ac:dyDescent="0.2">
      <c r="T244" s="14"/>
    </row>
    <row r="245" spans="8:20" ht="12" customHeight="1" x14ac:dyDescent="0.2">
      <c r="H245" s="207">
        <f ca="1">+H235/$T$235</f>
        <v>8.0326742117979369E-2</v>
      </c>
      <c r="I245" s="207">
        <f t="shared" ref="I245:T245" ca="1" si="120">+I235/$T$235</f>
        <v>8.203829486780817E-2</v>
      </c>
      <c r="J245" s="207">
        <f t="shared" ca="1" si="120"/>
        <v>8.3517595506733502E-2</v>
      </c>
      <c r="K245" s="207">
        <f t="shared" ca="1" si="120"/>
        <v>8.2784850481027933E-2</v>
      </c>
      <c r="L245" s="207">
        <f t="shared" ca="1" si="120"/>
        <v>8.3698184735487138E-2</v>
      </c>
      <c r="M245" s="207">
        <f t="shared" ca="1" si="120"/>
        <v>8.2858288133289382E-2</v>
      </c>
      <c r="N245" s="207">
        <f t="shared" ca="1" si="120"/>
        <v>8.3386798438712204E-2</v>
      </c>
      <c r="O245" s="207">
        <f t="shared" ca="1" si="120"/>
        <v>8.2931086429572573E-2</v>
      </c>
      <c r="P245" s="207">
        <f t="shared" ca="1" si="120"/>
        <v>8.3541740806610781E-2</v>
      </c>
      <c r="Q245" s="207">
        <f t="shared" ca="1" si="120"/>
        <v>8.171660660964454E-2</v>
      </c>
      <c r="R245" s="207">
        <f t="shared" ca="1" si="120"/>
        <v>8.6319225992206802E-2</v>
      </c>
      <c r="S245" s="207">
        <f t="shared" ca="1" si="120"/>
        <v>8.6880585880927702E-2</v>
      </c>
      <c r="T245" s="207">
        <f t="shared" ca="1" si="120"/>
        <v>1</v>
      </c>
    </row>
    <row r="246" spans="8:20" ht="12" customHeight="1" x14ac:dyDescent="0.2"/>
    <row r="247" spans="8:20" ht="12" customHeight="1" x14ac:dyDescent="0.2"/>
    <row r="248" spans="8:20" ht="12" customHeight="1" x14ac:dyDescent="0.2"/>
    <row r="249" spans="8:20" ht="12" customHeight="1" x14ac:dyDescent="0.2"/>
    <row r="250" spans="8:20" ht="12" customHeight="1" x14ac:dyDescent="0.2"/>
    <row r="251" spans="8:20" ht="12" customHeight="1" x14ac:dyDescent="0.2"/>
    <row r="252" spans="8:20" ht="12" customHeight="1" x14ac:dyDescent="0.2"/>
    <row r="253" spans="8:20" ht="12" customHeight="1" x14ac:dyDescent="0.2"/>
    <row r="254" spans="8:20" ht="12" customHeight="1" x14ac:dyDescent="0.2"/>
    <row r="255" spans="8:20" ht="12" customHeight="1" x14ac:dyDescent="0.2"/>
    <row r="256" spans="8:20"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sheetData>
  <mergeCells count="4">
    <mergeCell ref="AL4:AM4"/>
    <mergeCell ref="AN4:AO4"/>
    <mergeCell ref="AP4:AQ4"/>
    <mergeCell ref="AR4:AS4"/>
  </mergeCells>
  <conditionalFormatting sqref="B14">
    <cfRule type="duplicateValues" dxfId="14" priority="6"/>
  </conditionalFormatting>
  <conditionalFormatting sqref="B34">
    <cfRule type="duplicateValues" dxfId="13" priority="7"/>
  </conditionalFormatting>
  <conditionalFormatting sqref="B55:B56">
    <cfRule type="duplicateValues" dxfId="12" priority="1"/>
  </conditionalFormatting>
  <conditionalFormatting sqref="B73">
    <cfRule type="duplicateValues" dxfId="11" priority="8"/>
  </conditionalFormatting>
  <conditionalFormatting sqref="B177">
    <cfRule type="duplicateValues" dxfId="10" priority="5"/>
  </conditionalFormatting>
  <conditionalFormatting sqref="C209 B11:B13 C36 B35 C222 B208 B15:B33 B210:B221 B37:B54 B57:B72 B74:B176 B178:B206">
    <cfRule type="duplicateValues" dxfId="9" priority="11"/>
  </conditionalFormatting>
  <pageMargins left="0.7" right="0.7" top="0.75" bottom="0.75" header="0.3" footer="0.3"/>
  <pageSetup fitToWidth="0" fitToHeight="0" orientation="portrait" r:id="rId1"/>
  <headerFooter alignWithMargins="0">
    <oddHeader>&amp;R&amp;F
&amp;A</oddHeader>
    <oddFooter>&amp;L&amp;D&amp;C&amp;P&amp;R&amp;T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theme="6" tint="0.59999389629810485"/>
  </sheetPr>
  <dimension ref="A1:AZ178"/>
  <sheetViews>
    <sheetView showGridLines="0" view="pageBreakPreview" zoomScale="70" zoomScaleNormal="85" zoomScaleSheetLayoutView="70" workbookViewId="0">
      <pane xSplit="8" ySplit="5" topLeftCell="I37" activePane="bottomRight" state="frozen"/>
      <selection activeCell="M20" sqref="M20"/>
      <selection pane="topRight" activeCell="M20" sqref="M20"/>
      <selection pane="bottomLeft" activeCell="M20" sqref="M20"/>
      <selection pane="bottomRight" activeCell="I55" sqref="I55"/>
    </sheetView>
  </sheetViews>
  <sheetFormatPr defaultColWidth="10.28515625" defaultRowHeight="15" outlineLevelRow="1" outlineLevelCol="1" x14ac:dyDescent="0.25"/>
  <cols>
    <col min="1" max="1" width="10.28515625" style="1"/>
    <col min="2" max="2" width="24.5703125" style="1" customWidth="1"/>
    <col min="3" max="3" width="20.85546875" style="1" customWidth="1"/>
    <col min="4" max="4" width="27.5703125" style="1" bestFit="1" customWidth="1"/>
    <col min="5" max="7" width="15.28515625" style="3" customWidth="1"/>
    <col min="8" max="8" width="1.85546875" style="1" customWidth="1"/>
    <col min="9" max="10" width="14.5703125" style="1" customWidth="1" outlineLevel="1"/>
    <col min="11" max="11" width="14.28515625" style="1" customWidth="1" outlineLevel="1"/>
    <col min="12" max="14" width="14.5703125" style="1" customWidth="1" outlineLevel="1"/>
    <col min="15" max="15" width="13.85546875" style="1" customWidth="1" outlineLevel="1"/>
    <col min="16" max="16" width="14.28515625" style="1" customWidth="1" outlineLevel="1"/>
    <col min="17" max="20" width="14.5703125" style="1" customWidth="1" outlineLevel="1"/>
    <col min="21" max="21" width="15.28515625" style="16" bestFit="1" customWidth="1"/>
    <col min="22" max="22" width="12.28515625" style="1" customWidth="1"/>
    <col min="23" max="34" width="8.42578125" style="1" customWidth="1" outlineLevel="1"/>
    <col min="36" max="37" width="10.28515625" style="1"/>
    <col min="38" max="46" width="10.28515625" style="1" customWidth="1" outlineLevel="1"/>
    <col min="47" max="47" width="10.28515625" style="1"/>
    <col min="48" max="48" width="11.28515625" style="1" bestFit="1" customWidth="1"/>
    <col min="49" max="16384" width="10.28515625" style="1"/>
  </cols>
  <sheetData>
    <row r="1" spans="2:46" ht="12" customHeight="1" x14ac:dyDescent="0.25">
      <c r="C1" s="57" t="s">
        <v>45</v>
      </c>
      <c r="J1" s="118"/>
      <c r="K1" s="118"/>
      <c r="L1" s="89"/>
      <c r="M1" s="118"/>
      <c r="N1" s="89"/>
    </row>
    <row r="2" spans="2:46" ht="12" customHeight="1" x14ac:dyDescent="0.25">
      <c r="C2" s="57" t="s">
        <v>642</v>
      </c>
      <c r="J2" s="118"/>
      <c r="K2" s="118"/>
      <c r="L2" s="89"/>
      <c r="M2" s="118"/>
      <c r="N2" s="89"/>
    </row>
    <row r="3" spans="2:46" ht="12" customHeight="1" x14ac:dyDescent="0.25">
      <c r="C3" s="2" t="s">
        <v>1371</v>
      </c>
      <c r="J3" s="117"/>
      <c r="K3" s="118"/>
      <c r="L3" s="89"/>
      <c r="AI3" t="s">
        <v>1331</v>
      </c>
      <c r="AJ3" s="1" t="s">
        <v>26</v>
      </c>
    </row>
    <row r="4" spans="2:46" ht="12" customHeight="1" x14ac:dyDescent="0.2">
      <c r="D4" s="5"/>
      <c r="E4" s="206">
        <v>44927</v>
      </c>
      <c r="F4" s="292">
        <v>45108</v>
      </c>
      <c r="G4" s="292">
        <v>45292</v>
      </c>
      <c r="I4" s="297">
        <v>45017</v>
      </c>
      <c r="J4" s="297">
        <v>45047</v>
      </c>
      <c r="K4" s="297">
        <v>45078</v>
      </c>
      <c r="L4" s="36">
        <v>45108</v>
      </c>
      <c r="M4" s="36">
        <v>45139</v>
      </c>
      <c r="N4" s="36">
        <v>45170</v>
      </c>
      <c r="O4" s="36">
        <v>45200</v>
      </c>
      <c r="P4" s="36">
        <v>45231</v>
      </c>
      <c r="Q4" s="36">
        <v>45261</v>
      </c>
      <c r="R4" s="38">
        <v>45292</v>
      </c>
      <c r="S4" s="38">
        <v>45323</v>
      </c>
      <c r="T4" s="38">
        <v>45352</v>
      </c>
      <c r="U4" s="91" t="s">
        <v>1370</v>
      </c>
      <c r="W4" s="297">
        <v>45017</v>
      </c>
      <c r="X4" s="297">
        <v>45047</v>
      </c>
      <c r="Y4" s="297">
        <v>45078</v>
      </c>
      <c r="Z4" s="36">
        <v>45108</v>
      </c>
      <c r="AA4" s="36">
        <v>45139</v>
      </c>
      <c r="AB4" s="36">
        <v>45170</v>
      </c>
      <c r="AC4" s="36">
        <v>45200</v>
      </c>
      <c r="AD4" s="36">
        <v>45231</v>
      </c>
      <c r="AE4" s="36">
        <v>45261</v>
      </c>
      <c r="AF4" s="38">
        <v>45292</v>
      </c>
      <c r="AG4" s="38">
        <v>45323</v>
      </c>
      <c r="AH4" s="38">
        <v>45352</v>
      </c>
      <c r="AI4" s="91" t="s">
        <v>1370</v>
      </c>
      <c r="AJ4" s="91" t="s">
        <v>1370</v>
      </c>
      <c r="AM4" s="305" t="s">
        <v>1325</v>
      </c>
      <c r="AN4" s="306"/>
      <c r="AO4" s="305" t="s">
        <v>1326</v>
      </c>
      <c r="AP4" s="306"/>
      <c r="AQ4" s="305" t="s">
        <v>1327</v>
      </c>
      <c r="AR4" s="306"/>
      <c r="AS4" s="305" t="s">
        <v>1330</v>
      </c>
      <c r="AT4" s="306"/>
    </row>
    <row r="5" spans="2:46" ht="12" customHeight="1" x14ac:dyDescent="0.2">
      <c r="C5" s="6" t="s">
        <v>0</v>
      </c>
      <c r="D5" s="5" t="s">
        <v>1</v>
      </c>
      <c r="E5" s="35" t="s">
        <v>1305</v>
      </c>
      <c r="F5" s="35" t="s">
        <v>1305</v>
      </c>
      <c r="G5" s="35" t="s">
        <v>1305</v>
      </c>
      <c r="H5" s="5"/>
      <c r="I5" s="298" t="s">
        <v>21</v>
      </c>
      <c r="J5" s="298" t="s">
        <v>21</v>
      </c>
      <c r="K5" s="298" t="s">
        <v>21</v>
      </c>
      <c r="L5" s="37" t="s">
        <v>21</v>
      </c>
      <c r="M5" s="37" t="s">
        <v>21</v>
      </c>
      <c r="N5" s="37" t="s">
        <v>21</v>
      </c>
      <c r="O5" s="37" t="s">
        <v>21</v>
      </c>
      <c r="P5" s="37" t="s">
        <v>21</v>
      </c>
      <c r="Q5" s="37" t="s">
        <v>21</v>
      </c>
      <c r="R5" s="39" t="s">
        <v>21</v>
      </c>
      <c r="S5" s="39" t="s">
        <v>21</v>
      </c>
      <c r="T5" s="39" t="s">
        <v>21</v>
      </c>
      <c r="U5" s="37" t="s">
        <v>21</v>
      </c>
      <c r="W5" s="39" t="s">
        <v>27</v>
      </c>
      <c r="X5" s="39" t="s">
        <v>27</v>
      </c>
      <c r="Y5" s="39" t="s">
        <v>27</v>
      </c>
      <c r="Z5" s="39" t="s">
        <v>27</v>
      </c>
      <c r="AA5" s="39" t="s">
        <v>27</v>
      </c>
      <c r="AB5" s="39" t="s">
        <v>27</v>
      </c>
      <c r="AC5" s="39" t="s">
        <v>27</v>
      </c>
      <c r="AD5" s="39" t="s">
        <v>27</v>
      </c>
      <c r="AE5" s="39" t="s">
        <v>27</v>
      </c>
      <c r="AF5" s="39" t="s">
        <v>27</v>
      </c>
      <c r="AG5" s="39" t="s">
        <v>27</v>
      </c>
      <c r="AH5" s="39" t="s">
        <v>27</v>
      </c>
      <c r="AI5" s="39" t="s">
        <v>27</v>
      </c>
      <c r="AJ5" s="255" t="s">
        <v>27</v>
      </c>
      <c r="AM5" s="209" t="s">
        <v>1328</v>
      </c>
      <c r="AN5" s="210" t="s">
        <v>1329</v>
      </c>
      <c r="AO5" s="209" t="s">
        <v>1328</v>
      </c>
      <c r="AP5" s="210" t="s">
        <v>1329</v>
      </c>
      <c r="AQ5" s="209" t="s">
        <v>1328</v>
      </c>
      <c r="AR5" s="210" t="s">
        <v>1329</v>
      </c>
      <c r="AS5" s="209" t="s">
        <v>1328</v>
      </c>
      <c r="AT5" s="210" t="s">
        <v>1329</v>
      </c>
    </row>
    <row r="6" spans="2:46" ht="12" customHeight="1" x14ac:dyDescent="0.25">
      <c r="I6" s="1">
        <v>7</v>
      </c>
      <c r="J6" s="1">
        <v>8</v>
      </c>
      <c r="K6" s="1">
        <v>9</v>
      </c>
      <c r="L6" s="1">
        <v>10</v>
      </c>
      <c r="M6" s="1">
        <v>11</v>
      </c>
      <c r="N6" s="1">
        <v>12</v>
      </c>
      <c r="O6" s="1">
        <v>13</v>
      </c>
      <c r="P6" s="1">
        <v>14</v>
      </c>
      <c r="Q6" s="1">
        <v>15</v>
      </c>
      <c r="R6" s="1">
        <v>4</v>
      </c>
      <c r="S6" s="1">
        <v>5</v>
      </c>
      <c r="T6" s="1">
        <v>6</v>
      </c>
    </row>
    <row r="7" spans="2:46" ht="12" hidden="1" customHeight="1" outlineLevel="1" x14ac:dyDescent="0.25">
      <c r="C7" s="26"/>
      <c r="D7" s="26"/>
      <c r="E7" s="113" t="s">
        <v>1114</v>
      </c>
      <c r="F7" s="113" t="s">
        <v>1114</v>
      </c>
      <c r="G7" s="113" t="s">
        <v>1114</v>
      </c>
      <c r="H7" s="114"/>
      <c r="I7" s="115">
        <v>0</v>
      </c>
      <c r="J7" s="115">
        <v>0</v>
      </c>
      <c r="K7" s="115">
        <v>0</v>
      </c>
      <c r="L7" s="115">
        <v>0</v>
      </c>
      <c r="M7" s="115">
        <v>0</v>
      </c>
      <c r="N7" s="115">
        <v>0</v>
      </c>
      <c r="O7" s="115">
        <v>0</v>
      </c>
      <c r="P7" s="115">
        <v>0</v>
      </c>
      <c r="Q7" s="115">
        <v>0</v>
      </c>
      <c r="R7" s="115">
        <v>0</v>
      </c>
      <c r="S7" s="115">
        <v>0</v>
      </c>
      <c r="T7" s="115">
        <v>0</v>
      </c>
    </row>
    <row r="8" spans="2:46" ht="12" customHeight="1" collapsed="1" x14ac:dyDescent="0.25">
      <c r="C8" s="27" t="s">
        <v>2</v>
      </c>
      <c r="D8" s="27" t="s">
        <v>2</v>
      </c>
      <c r="H8" s="8"/>
      <c r="I8" s="8"/>
    </row>
    <row r="9" spans="2:46" ht="12" customHeight="1" x14ac:dyDescent="0.25">
      <c r="C9" s="27"/>
      <c r="D9" s="28"/>
      <c r="E9" s="11"/>
      <c r="F9" s="11"/>
      <c r="G9" s="11"/>
      <c r="H9" s="11"/>
      <c r="I9" s="12"/>
      <c r="J9" s="13" t="str">
        <f>IF(H9="","",(#REF!/H9)+(#REF!/#REF!))</f>
        <v/>
      </c>
      <c r="K9" s="13" t="str">
        <f>IF(H9="","",J9/12)</f>
        <v/>
      </c>
      <c r="L9" s="16"/>
      <c r="M9" s="14"/>
      <c r="W9" s="25"/>
      <c r="X9" s="25"/>
      <c r="Y9" s="25"/>
      <c r="Z9" s="25"/>
      <c r="AA9" s="25"/>
      <c r="AB9" s="25"/>
      <c r="AC9" s="25"/>
      <c r="AD9" s="25"/>
      <c r="AE9" s="25"/>
      <c r="AF9" s="25"/>
      <c r="AG9" s="25"/>
      <c r="AH9" s="25"/>
    </row>
    <row r="10" spans="2:46" ht="12" customHeight="1" x14ac:dyDescent="0.25">
      <c r="C10" s="29" t="s">
        <v>3</v>
      </c>
      <c r="D10" s="29" t="s">
        <v>3</v>
      </c>
      <c r="E10" s="11"/>
      <c r="F10" s="11"/>
      <c r="G10" s="11"/>
      <c r="H10" s="11"/>
      <c r="I10" s="12"/>
      <c r="J10" s="13" t="str">
        <f>IF(H10="","",(#REF!/H10)+(#REF!/#REF!))</f>
        <v/>
      </c>
      <c r="K10" s="13" t="str">
        <f>IF(H10="","",J10/12)</f>
        <v/>
      </c>
      <c r="L10" s="16"/>
      <c r="M10" s="14"/>
      <c r="W10" s="25"/>
      <c r="X10" s="25"/>
      <c r="Y10" s="25"/>
      <c r="Z10" s="25"/>
      <c r="AA10" s="25"/>
      <c r="AB10" s="25"/>
      <c r="AC10" s="25"/>
      <c r="AD10" s="25"/>
      <c r="AE10" s="25"/>
      <c r="AF10" s="25"/>
      <c r="AG10" s="25"/>
      <c r="AH10" s="25"/>
    </row>
    <row r="11" spans="2:46" ht="12" customHeight="1" x14ac:dyDescent="0.2">
      <c r="B11" s="1" t="str">
        <f>"camas"&amp;"residential extras"&amp;C11</f>
        <v>camasresidential extrasWBMISC</v>
      </c>
      <c r="C11" s="58" t="s">
        <v>75</v>
      </c>
      <c r="D11" s="58" t="s">
        <v>107</v>
      </c>
      <c r="E11" s="11">
        <v>30.39</v>
      </c>
      <c r="F11" s="11">
        <v>30.39</v>
      </c>
      <c r="G11" s="11">
        <v>32.450000000000003</v>
      </c>
      <c r="H11" s="11"/>
      <c r="I11" s="14">
        <v>91.17</v>
      </c>
      <c r="J11" s="14">
        <v>30.39</v>
      </c>
      <c r="K11" s="14">
        <v>364.68</v>
      </c>
      <c r="L11" s="14">
        <v>38.549999999999997</v>
      </c>
      <c r="M11" s="14">
        <v>212.72999999999996</v>
      </c>
      <c r="N11" s="14">
        <v>60.81</v>
      </c>
      <c r="O11" s="14">
        <v>30.39</v>
      </c>
      <c r="P11" s="14">
        <v>30.39</v>
      </c>
      <c r="Q11" s="14">
        <v>0</v>
      </c>
      <c r="R11" s="14">
        <v>125.68</v>
      </c>
      <c r="S11" s="14">
        <v>129.80000000000001</v>
      </c>
      <c r="T11" s="14">
        <v>0</v>
      </c>
      <c r="U11" s="16">
        <f>SUM(I11:T11)</f>
        <v>1114.5899999999999</v>
      </c>
      <c r="W11" s="25"/>
      <c r="X11" s="25"/>
      <c r="Y11" s="25"/>
      <c r="Z11" s="25"/>
      <c r="AA11" s="25"/>
      <c r="AB11" s="25"/>
      <c r="AC11" s="25"/>
      <c r="AD11" s="25"/>
      <c r="AE11" s="25"/>
      <c r="AF11" s="25"/>
      <c r="AG11" s="25"/>
      <c r="AH11" s="25"/>
      <c r="AI11" s="25"/>
      <c r="AJ11" s="25"/>
    </row>
    <row r="12" spans="2:46" ht="12" customHeight="1" x14ac:dyDescent="0.25">
      <c r="B12" s="1" t="str">
        <f t="shared" ref="B12:B18" si="0">"camas"&amp;"residential extras"&amp;C12</f>
        <v>camasresidential extrasWBCHAIR</v>
      </c>
      <c r="C12" s="89" t="s">
        <v>76</v>
      </c>
      <c r="D12" s="89" t="s">
        <v>108</v>
      </c>
      <c r="E12" s="11">
        <v>15.18</v>
      </c>
      <c r="F12" s="11">
        <v>15.18</v>
      </c>
      <c r="G12" s="11">
        <v>16.2</v>
      </c>
      <c r="H12" s="11"/>
      <c r="I12" s="14">
        <v>0</v>
      </c>
      <c r="J12" s="14">
        <v>0</v>
      </c>
      <c r="K12" s="14">
        <v>45.54</v>
      </c>
      <c r="L12" s="14">
        <v>0</v>
      </c>
      <c r="M12" s="14">
        <v>30.36</v>
      </c>
      <c r="N12" s="14">
        <v>0</v>
      </c>
      <c r="O12" s="14">
        <v>30.36</v>
      </c>
      <c r="P12" s="14">
        <v>0</v>
      </c>
      <c r="Q12" s="14">
        <v>0</v>
      </c>
      <c r="R12" s="14">
        <v>16.2</v>
      </c>
      <c r="S12" s="14">
        <v>0</v>
      </c>
      <c r="T12" s="14">
        <v>0</v>
      </c>
      <c r="U12" s="16">
        <f t="shared" ref="U12:U18" si="1">SUM(I12:T12)</f>
        <v>122.46000000000001</v>
      </c>
      <c r="W12" s="25"/>
      <c r="X12" s="25"/>
      <c r="Y12" s="25"/>
      <c r="Z12" s="25"/>
      <c r="AA12" s="25"/>
      <c r="AB12" s="25"/>
      <c r="AC12" s="25"/>
      <c r="AD12" s="25"/>
      <c r="AE12" s="25"/>
      <c r="AF12" s="25"/>
      <c r="AG12" s="25"/>
      <c r="AH12" s="25"/>
      <c r="AM12" s="212">
        <v>0</v>
      </c>
      <c r="AN12" s="25">
        <f t="shared" ref="AN12:AN19" si="2">+$AI12*AM12</f>
        <v>0</v>
      </c>
      <c r="AO12" s="212">
        <v>0</v>
      </c>
      <c r="AP12" s="25">
        <f t="shared" ref="AP12:AP19" si="3">+$AI12*AO12</f>
        <v>0</v>
      </c>
      <c r="AQ12" s="212">
        <v>0</v>
      </c>
      <c r="AR12" s="25">
        <f t="shared" ref="AR12:AR19" si="4">+$AI12*AQ12</f>
        <v>0</v>
      </c>
      <c r="AS12" s="212">
        <v>0</v>
      </c>
      <c r="AT12" s="25">
        <f t="shared" ref="AT12:AT19" si="5">+$AI12*AS12</f>
        <v>0</v>
      </c>
    </row>
    <row r="13" spans="2:46" ht="12" customHeight="1" x14ac:dyDescent="0.25">
      <c r="B13" s="1" t="str">
        <f t="shared" si="0"/>
        <v>camasresidential extrasWBDRYER</v>
      </c>
      <c r="C13" s="89" t="s">
        <v>396</v>
      </c>
      <c r="D13" s="89" t="s">
        <v>406</v>
      </c>
      <c r="E13" s="11">
        <v>30.39</v>
      </c>
      <c r="F13" s="11">
        <v>30.39</v>
      </c>
      <c r="G13" s="11">
        <v>32.450000000000003</v>
      </c>
      <c r="H13" s="11"/>
      <c r="I13" s="14">
        <v>0</v>
      </c>
      <c r="J13" s="14">
        <v>0</v>
      </c>
      <c r="K13" s="14">
        <v>0</v>
      </c>
      <c r="L13" s="14">
        <v>60.78</v>
      </c>
      <c r="M13" s="14">
        <v>0</v>
      </c>
      <c r="N13" s="14">
        <v>0</v>
      </c>
      <c r="O13" s="14">
        <v>0</v>
      </c>
      <c r="P13" s="14">
        <v>0</v>
      </c>
      <c r="Q13" s="14">
        <v>0</v>
      </c>
      <c r="R13" s="14">
        <v>0</v>
      </c>
      <c r="S13" s="14">
        <v>0</v>
      </c>
      <c r="T13" s="14">
        <v>0</v>
      </c>
      <c r="U13" s="16">
        <f t="shared" si="1"/>
        <v>60.78</v>
      </c>
      <c r="W13" s="25"/>
      <c r="X13" s="25"/>
      <c r="Y13" s="25"/>
      <c r="Z13" s="25"/>
      <c r="AA13" s="25"/>
      <c r="AB13" s="25"/>
      <c r="AC13" s="25"/>
      <c r="AD13" s="25"/>
      <c r="AE13" s="25"/>
      <c r="AF13" s="25"/>
      <c r="AG13" s="25"/>
      <c r="AH13" s="25"/>
      <c r="AM13" s="212">
        <v>0</v>
      </c>
      <c r="AN13" s="25">
        <f t="shared" si="2"/>
        <v>0</v>
      </c>
      <c r="AO13" s="212">
        <v>0</v>
      </c>
      <c r="AP13" s="25">
        <f t="shared" si="3"/>
        <v>0</v>
      </c>
      <c r="AQ13" s="212">
        <v>0</v>
      </c>
      <c r="AR13" s="25">
        <f t="shared" si="4"/>
        <v>0</v>
      </c>
      <c r="AS13" s="212">
        <v>0</v>
      </c>
      <c r="AT13" s="25">
        <f t="shared" si="5"/>
        <v>0</v>
      </c>
    </row>
    <row r="14" spans="2:46" ht="12" customHeight="1" x14ac:dyDescent="0.25">
      <c r="B14" s="1" t="str">
        <f t="shared" si="0"/>
        <v>camasresidential extrasWBMATT</v>
      </c>
      <c r="C14" s="89" t="s">
        <v>78</v>
      </c>
      <c r="D14" s="89" t="s">
        <v>110</v>
      </c>
      <c r="E14" s="11">
        <v>22.79</v>
      </c>
      <c r="F14" s="11">
        <v>22.79</v>
      </c>
      <c r="G14" s="11">
        <v>24.33</v>
      </c>
      <c r="H14" s="11"/>
      <c r="I14" s="14">
        <v>68.37</v>
      </c>
      <c r="J14" s="14">
        <v>22.79</v>
      </c>
      <c r="K14" s="14">
        <v>136.74</v>
      </c>
      <c r="L14" s="14">
        <v>45.58</v>
      </c>
      <c r="M14" s="14">
        <v>91.16</v>
      </c>
      <c r="N14" s="14">
        <v>68.37</v>
      </c>
      <c r="O14" s="14">
        <v>0</v>
      </c>
      <c r="P14" s="14">
        <v>45.58</v>
      </c>
      <c r="Q14" s="14">
        <v>22.79</v>
      </c>
      <c r="R14" s="14">
        <v>144.44</v>
      </c>
      <c r="S14" s="14">
        <v>24.33</v>
      </c>
      <c r="T14" s="14">
        <v>0</v>
      </c>
      <c r="U14" s="16">
        <f t="shared" si="1"/>
        <v>670.15</v>
      </c>
      <c r="W14" s="25"/>
      <c r="X14" s="25"/>
      <c r="Y14" s="25"/>
      <c r="Z14" s="25"/>
      <c r="AA14" s="25"/>
      <c r="AB14" s="25"/>
      <c r="AC14" s="25"/>
      <c r="AD14" s="25"/>
      <c r="AE14" s="25"/>
      <c r="AF14" s="25"/>
      <c r="AG14" s="25"/>
      <c r="AH14" s="25"/>
      <c r="AM14" s="212">
        <v>0</v>
      </c>
      <c r="AN14" s="25">
        <f t="shared" si="2"/>
        <v>0</v>
      </c>
      <c r="AO14" s="212">
        <v>0</v>
      </c>
      <c r="AP14" s="25">
        <f t="shared" si="3"/>
        <v>0</v>
      </c>
      <c r="AQ14" s="212">
        <v>0</v>
      </c>
      <c r="AR14" s="25">
        <f t="shared" si="4"/>
        <v>0</v>
      </c>
      <c r="AS14" s="212">
        <v>0</v>
      </c>
      <c r="AT14" s="25">
        <f t="shared" si="5"/>
        <v>0</v>
      </c>
    </row>
    <row r="15" spans="2:46" ht="12" customHeight="1" x14ac:dyDescent="0.25">
      <c r="B15" s="1" t="str">
        <f t="shared" si="0"/>
        <v>camasresidential extrasWBSOFA</v>
      </c>
      <c r="C15" s="89" t="s">
        <v>77</v>
      </c>
      <c r="D15" s="89" t="s">
        <v>109</v>
      </c>
      <c r="E15" s="11">
        <v>30.39</v>
      </c>
      <c r="F15" s="11">
        <v>30.39</v>
      </c>
      <c r="G15" s="11">
        <v>32.450000000000003</v>
      </c>
      <c r="H15" s="11"/>
      <c r="I15" s="14">
        <v>0</v>
      </c>
      <c r="J15" s="14">
        <v>91.17</v>
      </c>
      <c r="K15" s="14">
        <v>151.94999999999999</v>
      </c>
      <c r="L15" s="14">
        <v>30.39</v>
      </c>
      <c r="M15" s="14">
        <v>0</v>
      </c>
      <c r="N15" s="14">
        <v>30.39</v>
      </c>
      <c r="O15" s="14">
        <v>30.39</v>
      </c>
      <c r="P15" s="14">
        <v>30.39</v>
      </c>
      <c r="Q15" s="14">
        <v>0</v>
      </c>
      <c r="R15" s="14">
        <v>64.900000000000006</v>
      </c>
      <c r="S15" s="14">
        <v>64.900000000000006</v>
      </c>
      <c r="T15" s="14">
        <v>32.450000000000003</v>
      </c>
      <c r="U15" s="16">
        <f t="shared" si="1"/>
        <v>526.92999999999995</v>
      </c>
      <c r="W15" s="25"/>
      <c r="X15" s="25"/>
      <c r="Y15" s="25"/>
      <c r="Z15" s="25"/>
      <c r="AA15" s="25"/>
      <c r="AB15" s="25"/>
      <c r="AC15" s="25"/>
      <c r="AD15" s="25"/>
      <c r="AE15" s="25"/>
      <c r="AF15" s="25"/>
      <c r="AG15" s="25"/>
      <c r="AH15" s="25"/>
      <c r="AM15" s="212">
        <v>0</v>
      </c>
      <c r="AN15" s="25">
        <f t="shared" si="2"/>
        <v>0</v>
      </c>
      <c r="AO15" s="212">
        <v>0</v>
      </c>
      <c r="AP15" s="25">
        <f t="shared" si="3"/>
        <v>0</v>
      </c>
      <c r="AQ15" s="212">
        <v>0</v>
      </c>
      <c r="AR15" s="25">
        <f t="shared" si="4"/>
        <v>0</v>
      </c>
      <c r="AS15" s="212">
        <v>0</v>
      </c>
      <c r="AT15" s="25">
        <f t="shared" si="5"/>
        <v>0</v>
      </c>
    </row>
    <row r="16" spans="2:46" ht="12" customHeight="1" x14ac:dyDescent="0.25">
      <c r="B16" s="1" t="str">
        <f t="shared" si="0"/>
        <v>camasresidential extrasWBSTOVE</v>
      </c>
      <c r="C16" s="89" t="s">
        <v>749</v>
      </c>
      <c r="D16" s="89" t="s">
        <v>774</v>
      </c>
      <c r="E16" s="11">
        <v>30.39</v>
      </c>
      <c r="F16" s="11">
        <v>30.39</v>
      </c>
      <c r="G16" s="11">
        <v>32.450000000000003</v>
      </c>
      <c r="H16" s="11"/>
      <c r="I16" s="14">
        <v>0</v>
      </c>
      <c r="J16" s="14">
        <v>0</v>
      </c>
      <c r="K16" s="14">
        <v>0</v>
      </c>
      <c r="L16" s="14">
        <v>0</v>
      </c>
      <c r="M16" s="14">
        <v>0</v>
      </c>
      <c r="N16" s="14">
        <v>0</v>
      </c>
      <c r="O16" s="14">
        <v>30.39</v>
      </c>
      <c r="P16" s="14">
        <v>30.39</v>
      </c>
      <c r="Q16" s="14">
        <v>0</v>
      </c>
      <c r="R16" s="14">
        <v>0</v>
      </c>
      <c r="S16" s="14">
        <v>0</v>
      </c>
      <c r="T16" s="14">
        <v>0</v>
      </c>
      <c r="U16" s="16">
        <f t="shared" si="1"/>
        <v>60.78</v>
      </c>
      <c r="W16" s="25"/>
      <c r="X16" s="25"/>
      <c r="Y16" s="25"/>
      <c r="Z16" s="25"/>
      <c r="AA16" s="25"/>
      <c r="AB16" s="25"/>
      <c r="AC16" s="25"/>
      <c r="AD16" s="25"/>
      <c r="AE16" s="25"/>
      <c r="AF16" s="25"/>
      <c r="AG16" s="25"/>
      <c r="AH16" s="25"/>
      <c r="AM16" s="212">
        <v>0</v>
      </c>
      <c r="AN16" s="25">
        <f t="shared" si="2"/>
        <v>0</v>
      </c>
      <c r="AO16" s="212">
        <v>0</v>
      </c>
      <c r="AP16" s="25">
        <f t="shared" si="3"/>
        <v>0</v>
      </c>
      <c r="AQ16" s="212">
        <v>0</v>
      </c>
      <c r="AR16" s="25">
        <f t="shared" si="4"/>
        <v>0</v>
      </c>
      <c r="AS16" s="212">
        <v>0</v>
      </c>
      <c r="AT16" s="25">
        <f t="shared" si="5"/>
        <v>0</v>
      </c>
    </row>
    <row r="17" spans="2:46" ht="12" customHeight="1" x14ac:dyDescent="0.25">
      <c r="B17" s="1" t="str">
        <f t="shared" si="0"/>
        <v>camasresidential extrasWBWTRHTR</v>
      </c>
      <c r="C17" s="89" t="s">
        <v>403</v>
      </c>
      <c r="D17" s="89" t="s">
        <v>413</v>
      </c>
      <c r="E17" s="11">
        <v>30.39</v>
      </c>
      <c r="F17" s="11">
        <v>30.39</v>
      </c>
      <c r="G17" s="11">
        <v>32.450000000000003</v>
      </c>
      <c r="H17" s="11"/>
      <c r="I17" s="14">
        <v>0</v>
      </c>
      <c r="J17" s="14">
        <v>0</v>
      </c>
      <c r="K17" s="14">
        <v>0</v>
      </c>
      <c r="L17" s="14">
        <v>0</v>
      </c>
      <c r="M17" s="14">
        <v>0</v>
      </c>
      <c r="N17" s="14">
        <v>0</v>
      </c>
      <c r="O17" s="14">
        <v>30.39</v>
      </c>
      <c r="P17" s="14">
        <v>30.39</v>
      </c>
      <c r="Q17" s="14">
        <v>0</v>
      </c>
      <c r="R17" s="14">
        <v>0</v>
      </c>
      <c r="S17" s="14">
        <v>32.450000000000003</v>
      </c>
      <c r="T17" s="14">
        <v>0</v>
      </c>
      <c r="U17" s="16">
        <f t="shared" si="1"/>
        <v>93.23</v>
      </c>
      <c r="W17" s="25"/>
      <c r="X17" s="25"/>
      <c r="Y17" s="25"/>
      <c r="Z17" s="25"/>
      <c r="AA17" s="25"/>
      <c r="AB17" s="25"/>
      <c r="AC17" s="25"/>
      <c r="AD17" s="25"/>
      <c r="AE17" s="25"/>
      <c r="AF17" s="25"/>
      <c r="AG17" s="25"/>
      <c r="AH17" s="25"/>
      <c r="AM17" s="212">
        <v>0</v>
      </c>
      <c r="AN17" s="25">
        <f t="shared" si="2"/>
        <v>0</v>
      </c>
      <c r="AO17" s="212">
        <v>0</v>
      </c>
      <c r="AP17" s="25">
        <f t="shared" si="3"/>
        <v>0</v>
      </c>
      <c r="AQ17" s="212">
        <v>0</v>
      </c>
      <c r="AR17" s="25">
        <f t="shared" si="4"/>
        <v>0</v>
      </c>
      <c r="AS17" s="212">
        <v>0</v>
      </c>
      <c r="AT17" s="25">
        <f t="shared" si="5"/>
        <v>0</v>
      </c>
    </row>
    <row r="18" spans="2:46" ht="12" customHeight="1" x14ac:dyDescent="0.25">
      <c r="B18" s="1" t="str">
        <f t="shared" si="0"/>
        <v>camasresidential extrasWBREFRIGE</v>
      </c>
      <c r="C18" s="89" t="s">
        <v>397</v>
      </c>
      <c r="D18" s="89" t="s">
        <v>407</v>
      </c>
      <c r="E18" s="11">
        <v>60.77</v>
      </c>
      <c r="F18" s="11">
        <v>60.77</v>
      </c>
      <c r="G18" s="11">
        <v>64.88</v>
      </c>
      <c r="H18" s="11"/>
      <c r="I18" s="14">
        <v>0</v>
      </c>
      <c r="J18" s="14">
        <v>60.77</v>
      </c>
      <c r="K18" s="14">
        <v>60.77</v>
      </c>
      <c r="L18" s="14">
        <v>0</v>
      </c>
      <c r="M18" s="14">
        <v>425.39000000000004</v>
      </c>
      <c r="N18" s="14">
        <v>243.08</v>
      </c>
      <c r="O18" s="14">
        <v>0</v>
      </c>
      <c r="P18" s="14">
        <v>182.31</v>
      </c>
      <c r="Q18" s="14">
        <v>243.08</v>
      </c>
      <c r="R18" s="14">
        <v>194.64</v>
      </c>
      <c r="S18" s="14">
        <v>129.76</v>
      </c>
      <c r="T18" s="14">
        <v>129.76</v>
      </c>
      <c r="U18" s="16">
        <f t="shared" si="1"/>
        <v>1669.56</v>
      </c>
      <c r="W18" s="25"/>
      <c r="X18" s="25"/>
      <c r="Y18" s="25"/>
      <c r="Z18" s="25"/>
      <c r="AA18" s="25"/>
      <c r="AB18" s="25"/>
      <c r="AC18" s="25"/>
      <c r="AD18" s="25"/>
      <c r="AE18" s="25"/>
      <c r="AF18" s="25"/>
      <c r="AG18" s="25"/>
      <c r="AH18" s="25"/>
      <c r="AM18" s="212">
        <v>0</v>
      </c>
      <c r="AN18" s="25">
        <f t="shared" si="2"/>
        <v>0</v>
      </c>
      <c r="AO18" s="212">
        <v>0</v>
      </c>
      <c r="AP18" s="25">
        <f t="shared" si="3"/>
        <v>0</v>
      </c>
      <c r="AQ18" s="212">
        <v>0</v>
      </c>
      <c r="AR18" s="25">
        <f t="shared" si="4"/>
        <v>0</v>
      </c>
      <c r="AS18" s="212">
        <v>0</v>
      </c>
      <c r="AT18" s="25">
        <f t="shared" si="5"/>
        <v>0</v>
      </c>
    </row>
    <row r="19" spans="2:46" ht="12" customHeight="1" x14ac:dyDescent="0.25">
      <c r="B19" s="1" t="str">
        <f>"camas"&amp;"residential extras"&amp;C19</f>
        <v>camasresidential extrasCRTIME1</v>
      </c>
      <c r="C19" s="89" t="s">
        <v>70</v>
      </c>
      <c r="D19" s="89" t="s">
        <v>102</v>
      </c>
      <c r="E19" s="11">
        <v>1.55</v>
      </c>
      <c r="F19" s="11">
        <v>1.55</v>
      </c>
      <c r="G19" s="11">
        <v>1.55</v>
      </c>
      <c r="H19" s="11"/>
      <c r="I19" s="14">
        <v>0</v>
      </c>
      <c r="J19" s="14">
        <v>0</v>
      </c>
      <c r="K19" s="14">
        <v>0</v>
      </c>
      <c r="L19" s="14">
        <v>0</v>
      </c>
      <c r="M19" s="14">
        <v>0</v>
      </c>
      <c r="N19" s="14">
        <v>0</v>
      </c>
      <c r="O19" s="14">
        <v>0</v>
      </c>
      <c r="P19" s="14">
        <v>0</v>
      </c>
      <c r="Q19" s="14">
        <v>0</v>
      </c>
      <c r="R19" s="14">
        <v>0</v>
      </c>
      <c r="S19" s="14">
        <v>0</v>
      </c>
      <c r="T19" s="14">
        <v>0</v>
      </c>
      <c r="U19" s="16">
        <f>SUM(I19:T19)</f>
        <v>0</v>
      </c>
      <c r="W19" s="13">
        <f t="shared" ref="W19:AH19" si="6">IFERROR(I19/$E19,0)</f>
        <v>0</v>
      </c>
      <c r="X19" s="13">
        <f t="shared" si="6"/>
        <v>0</v>
      </c>
      <c r="Y19" s="13">
        <f t="shared" si="6"/>
        <v>0</v>
      </c>
      <c r="Z19" s="13">
        <f t="shared" si="6"/>
        <v>0</v>
      </c>
      <c r="AA19" s="13">
        <f t="shared" si="6"/>
        <v>0</v>
      </c>
      <c r="AB19" s="13">
        <f t="shared" si="6"/>
        <v>0</v>
      </c>
      <c r="AC19" s="13">
        <f t="shared" si="6"/>
        <v>0</v>
      </c>
      <c r="AD19" s="13">
        <f t="shared" si="6"/>
        <v>0</v>
      </c>
      <c r="AE19" s="13">
        <f t="shared" si="6"/>
        <v>0</v>
      </c>
      <c r="AF19" s="13">
        <f t="shared" si="6"/>
        <v>0</v>
      </c>
      <c r="AG19" s="13">
        <f t="shared" si="6"/>
        <v>0</v>
      </c>
      <c r="AH19" s="13">
        <f t="shared" si="6"/>
        <v>0</v>
      </c>
      <c r="AI19" s="94">
        <f>+IFERROR(AVERAGE(W19:AH19),0)</f>
        <v>0</v>
      </c>
      <c r="AJ19" s="15">
        <f>+SUM(W19:AH19)</f>
        <v>0</v>
      </c>
      <c r="AM19" s="212">
        <v>0</v>
      </c>
      <c r="AN19" s="25">
        <f t="shared" si="2"/>
        <v>0</v>
      </c>
      <c r="AO19" s="212">
        <v>0</v>
      </c>
      <c r="AP19" s="25">
        <f t="shared" si="3"/>
        <v>0</v>
      </c>
      <c r="AQ19" s="212">
        <v>0</v>
      </c>
      <c r="AR19" s="25">
        <f t="shared" si="4"/>
        <v>0</v>
      </c>
      <c r="AS19" s="212">
        <v>0</v>
      </c>
      <c r="AT19" s="25">
        <f t="shared" si="5"/>
        <v>0</v>
      </c>
    </row>
    <row r="20" spans="2:46" ht="12" customHeight="1" x14ac:dyDescent="0.25">
      <c r="B20" s="1" t="str">
        <f>"camas"&amp;"Accounting"&amp;C20</f>
        <v>camasAccountingRETCKC</v>
      </c>
      <c r="C20" s="58" t="s">
        <v>1015</v>
      </c>
      <c r="D20" s="58" t="s">
        <v>1016</v>
      </c>
      <c r="E20" s="11">
        <v>0</v>
      </c>
      <c r="F20" s="11">
        <v>0</v>
      </c>
      <c r="G20" s="11">
        <v>0</v>
      </c>
      <c r="H20" s="11"/>
      <c r="I20" s="14">
        <v>0</v>
      </c>
      <c r="J20" s="14">
        <v>0</v>
      </c>
      <c r="K20" s="14">
        <v>25</v>
      </c>
      <c r="L20" s="14">
        <v>0</v>
      </c>
      <c r="M20" s="14">
        <v>0</v>
      </c>
      <c r="N20" s="14">
        <v>0</v>
      </c>
      <c r="O20" s="14">
        <v>0</v>
      </c>
      <c r="P20" s="14">
        <v>0</v>
      </c>
      <c r="Q20" s="14">
        <v>0</v>
      </c>
      <c r="R20" s="14">
        <v>25</v>
      </c>
      <c r="S20" s="14">
        <v>0</v>
      </c>
      <c r="T20" s="14">
        <v>0</v>
      </c>
      <c r="U20" s="16">
        <f>SUM(I20:T20)</f>
        <v>50</v>
      </c>
      <c r="W20" s="25"/>
      <c r="X20" s="25"/>
      <c r="Y20" s="25"/>
      <c r="Z20" s="25"/>
      <c r="AA20" s="25"/>
      <c r="AB20" s="25"/>
      <c r="AC20" s="25"/>
      <c r="AD20" s="25"/>
      <c r="AE20" s="25"/>
      <c r="AF20" s="25"/>
      <c r="AG20" s="25"/>
      <c r="AH20" s="25"/>
    </row>
    <row r="21" spans="2:46" ht="12" customHeight="1" x14ac:dyDescent="0.25">
      <c r="B21" s="1" t="str">
        <f>"camas"&amp;"residential extras"&amp;C21</f>
        <v>camasresidential extrasWBWASHER</v>
      </c>
      <c r="C21" s="58" t="s">
        <v>402</v>
      </c>
      <c r="D21" s="58" t="s">
        <v>412</v>
      </c>
      <c r="E21" s="11">
        <v>30.39</v>
      </c>
      <c r="F21" s="11">
        <v>30.39</v>
      </c>
      <c r="G21" s="11">
        <v>32.450000000000003</v>
      </c>
      <c r="H21" s="11"/>
      <c r="I21" s="14">
        <v>0</v>
      </c>
      <c r="J21" s="14">
        <v>30.39</v>
      </c>
      <c r="K21" s="14">
        <v>0</v>
      </c>
      <c r="L21" s="14">
        <v>0</v>
      </c>
      <c r="M21" s="14">
        <v>0</v>
      </c>
      <c r="N21" s="14">
        <v>0</v>
      </c>
      <c r="O21" s="14">
        <v>0</v>
      </c>
      <c r="P21" s="14">
        <v>30.39</v>
      </c>
      <c r="Q21" s="14">
        <v>0</v>
      </c>
      <c r="R21" s="14">
        <v>97.350000000000009</v>
      </c>
      <c r="S21" s="14">
        <v>0</v>
      </c>
      <c r="T21" s="14">
        <v>0</v>
      </c>
      <c r="U21" s="16">
        <f>SUM(I21:T21)</f>
        <v>158.13</v>
      </c>
      <c r="W21" s="25"/>
      <c r="X21" s="25"/>
      <c r="Y21" s="25"/>
      <c r="Z21" s="25"/>
      <c r="AA21" s="25"/>
      <c r="AB21" s="25"/>
      <c r="AC21" s="25"/>
      <c r="AD21" s="25"/>
      <c r="AE21" s="25"/>
      <c r="AF21" s="25"/>
      <c r="AG21" s="25"/>
      <c r="AH21" s="25"/>
    </row>
    <row r="22" spans="2:46" ht="12" customHeight="1" x14ac:dyDescent="0.2">
      <c r="C22" s="82" t="s">
        <v>1119</v>
      </c>
      <c r="D22" s="26"/>
      <c r="E22" s="11"/>
      <c r="F22" s="11"/>
      <c r="G22" s="11"/>
      <c r="H22" s="11"/>
      <c r="I22" s="101">
        <v>0</v>
      </c>
      <c r="J22" s="101">
        <v>0</v>
      </c>
      <c r="K22" s="101">
        <v>0</v>
      </c>
      <c r="L22" s="101">
        <v>0</v>
      </c>
      <c r="M22" s="101">
        <v>0</v>
      </c>
      <c r="N22" s="101">
        <v>0</v>
      </c>
      <c r="O22" s="101">
        <v>0</v>
      </c>
      <c r="P22" s="101">
        <v>0</v>
      </c>
      <c r="Q22" s="101">
        <v>0</v>
      </c>
      <c r="R22" s="101">
        <v>0</v>
      </c>
      <c r="S22" s="101">
        <v>0</v>
      </c>
      <c r="T22" s="101">
        <v>0</v>
      </c>
      <c r="U22" s="16">
        <f>SUM(I22:T22)</f>
        <v>0</v>
      </c>
      <c r="W22" s="25"/>
      <c r="X22" s="25"/>
      <c r="Y22" s="25"/>
      <c r="Z22" s="25"/>
      <c r="AA22" s="25"/>
      <c r="AB22" s="25"/>
      <c r="AC22" s="25"/>
      <c r="AD22" s="25"/>
      <c r="AE22" s="25"/>
      <c r="AF22" s="25"/>
      <c r="AG22" s="25"/>
      <c r="AH22" s="25"/>
      <c r="AI22" s="1"/>
    </row>
    <row r="23" spans="2:46" ht="12" customHeight="1" x14ac:dyDescent="0.2">
      <c r="C23" s="26"/>
      <c r="D23" s="31" t="s">
        <v>4</v>
      </c>
      <c r="E23" s="11"/>
      <c r="F23" s="11"/>
      <c r="G23" s="11"/>
      <c r="H23" s="11"/>
      <c r="I23" s="23">
        <f>SUM(I11:I22)</f>
        <v>159.54000000000002</v>
      </c>
      <c r="J23" s="23">
        <f t="shared" ref="J23:U23" si="7">SUM(J11:J22)</f>
        <v>235.51</v>
      </c>
      <c r="K23" s="23">
        <f t="shared" si="7"/>
        <v>784.68000000000006</v>
      </c>
      <c r="L23" s="23">
        <f t="shared" si="7"/>
        <v>175.3</v>
      </c>
      <c r="M23" s="23">
        <f t="shared" si="7"/>
        <v>759.6400000000001</v>
      </c>
      <c r="N23" s="23">
        <f t="shared" si="7"/>
        <v>402.65</v>
      </c>
      <c r="O23" s="23">
        <f t="shared" si="7"/>
        <v>151.92000000000002</v>
      </c>
      <c r="P23" s="23">
        <f t="shared" si="7"/>
        <v>379.84</v>
      </c>
      <c r="Q23" s="23">
        <f t="shared" si="7"/>
        <v>265.87</v>
      </c>
      <c r="R23" s="23">
        <f t="shared" si="7"/>
        <v>668.21</v>
      </c>
      <c r="S23" s="23">
        <f t="shared" si="7"/>
        <v>381.24</v>
      </c>
      <c r="T23" s="23">
        <f t="shared" si="7"/>
        <v>162.20999999999998</v>
      </c>
      <c r="U23" s="23">
        <f t="shared" si="7"/>
        <v>4526.6099999999997</v>
      </c>
      <c r="W23" s="25"/>
      <c r="X23" s="25"/>
      <c r="Y23" s="25"/>
      <c r="Z23" s="25"/>
      <c r="AA23" s="25"/>
      <c r="AB23" s="25"/>
      <c r="AC23" s="25"/>
      <c r="AD23" s="25"/>
      <c r="AE23" s="25"/>
      <c r="AF23" s="25"/>
      <c r="AG23" s="25"/>
      <c r="AH23" s="25"/>
      <c r="AI23" s="1"/>
    </row>
    <row r="24" spans="2:46" ht="12" customHeight="1" x14ac:dyDescent="0.2">
      <c r="C24" s="26"/>
      <c r="D24" s="26"/>
      <c r="E24" s="11"/>
      <c r="F24" s="11"/>
      <c r="G24" s="11"/>
      <c r="H24" s="11"/>
      <c r="I24" s="12"/>
      <c r="J24" s="13" t="str">
        <f>IF(H24="","",(#REF!/H24)+(#REF!/#REF!))</f>
        <v/>
      </c>
      <c r="K24" s="13" t="str">
        <f>IF(H24="","",J24/12)</f>
        <v/>
      </c>
      <c r="L24" s="12"/>
      <c r="M24" s="14"/>
      <c r="N24" s="12"/>
      <c r="W24" s="25"/>
      <c r="X24" s="25"/>
      <c r="Y24" s="25"/>
      <c r="Z24" s="25"/>
      <c r="AA24" s="25"/>
      <c r="AB24" s="25"/>
      <c r="AC24" s="25"/>
      <c r="AD24" s="25"/>
      <c r="AE24" s="25"/>
      <c r="AF24" s="25"/>
      <c r="AG24" s="25"/>
      <c r="AH24" s="25"/>
      <c r="AI24" s="1"/>
    </row>
    <row r="25" spans="2:46" ht="12" customHeight="1" x14ac:dyDescent="0.25">
      <c r="C25" s="32" t="s">
        <v>5</v>
      </c>
      <c r="D25" s="32" t="s">
        <v>5</v>
      </c>
      <c r="E25" s="11"/>
      <c r="F25" s="11"/>
      <c r="G25" s="11"/>
      <c r="H25" s="11"/>
      <c r="I25" s="13"/>
      <c r="J25" s="13" t="str">
        <f>IF(H25="","",(#REF!/H25)+(#REF!/#REF!))</f>
        <v/>
      </c>
      <c r="K25" s="13" t="str">
        <f>IF(H25="","",J25/12)</f>
        <v/>
      </c>
      <c r="L25" s="25"/>
      <c r="M25" s="25"/>
      <c r="N25" s="25"/>
      <c r="O25" s="25"/>
      <c r="P25" s="25"/>
      <c r="Q25" s="25"/>
      <c r="R25" s="25"/>
      <c r="S25" s="25"/>
      <c r="T25" s="25"/>
    </row>
    <row r="26" spans="2:46" s="241" customFormat="1" ht="12" customHeight="1" x14ac:dyDescent="0.25">
      <c r="B26" s="241" t="str">
        <f>"camas"&amp;"Multifamily"&amp;C26</f>
        <v>camasMultifamilyCMFREC</v>
      </c>
      <c r="C26" s="249" t="s">
        <v>434</v>
      </c>
      <c r="D26" s="249" t="s">
        <v>435</v>
      </c>
      <c r="E26" s="238">
        <v>5.59</v>
      </c>
      <c r="F26" s="238">
        <v>5.59</v>
      </c>
      <c r="G26" s="238">
        <v>5.59</v>
      </c>
      <c r="H26" s="243"/>
      <c r="I26" s="243">
        <v>1109.52</v>
      </c>
      <c r="J26" s="243">
        <v>1109.52</v>
      </c>
      <c r="K26" s="243">
        <v>1109.52</v>
      </c>
      <c r="L26" s="243">
        <v>1109.52</v>
      </c>
      <c r="M26" s="243">
        <v>1109.52</v>
      </c>
      <c r="N26" s="243">
        <v>1109.52</v>
      </c>
      <c r="O26" s="243">
        <v>1109.52</v>
      </c>
      <c r="P26" s="243">
        <v>1109.52</v>
      </c>
      <c r="Q26" s="243">
        <v>1109.52</v>
      </c>
      <c r="R26" s="243">
        <v>1109.52</v>
      </c>
      <c r="S26" s="243">
        <v>1170.24</v>
      </c>
      <c r="T26" s="243">
        <v>1170.24</v>
      </c>
      <c r="U26" s="233">
        <f t="shared" ref="U26:U32" si="8">SUM(I26:T26)</f>
        <v>13435.680000000002</v>
      </c>
      <c r="W26" s="240">
        <f t="shared" ref="W26:Y28" si="9">IFERROR(I26/$E26,0)</f>
        <v>198.4830053667263</v>
      </c>
      <c r="X26" s="240">
        <f t="shared" si="9"/>
        <v>198.4830053667263</v>
      </c>
      <c r="Y26" s="240">
        <f t="shared" si="9"/>
        <v>198.4830053667263</v>
      </c>
      <c r="Z26" s="240">
        <f t="shared" ref="Z26:AE28" si="10">IFERROR(L26/$F26,0)</f>
        <v>198.4830053667263</v>
      </c>
      <c r="AA26" s="240">
        <f t="shared" si="10"/>
        <v>198.4830053667263</v>
      </c>
      <c r="AB26" s="240">
        <f t="shared" si="10"/>
        <v>198.4830053667263</v>
      </c>
      <c r="AC26" s="240">
        <f t="shared" si="10"/>
        <v>198.4830053667263</v>
      </c>
      <c r="AD26" s="240">
        <f t="shared" si="10"/>
        <v>198.4830053667263</v>
      </c>
      <c r="AE26" s="240">
        <f t="shared" si="10"/>
        <v>198.4830053667263</v>
      </c>
      <c r="AF26" s="240">
        <f t="shared" ref="AF26:AH28" si="11">IFERROR(R26/$G26,0)</f>
        <v>198.4830053667263</v>
      </c>
      <c r="AG26" s="240">
        <f t="shared" si="11"/>
        <v>209.34525939177104</v>
      </c>
      <c r="AH26" s="240">
        <f t="shared" si="11"/>
        <v>209.34525939177104</v>
      </c>
      <c r="AI26" s="256">
        <f>+IFERROR(AVERAGE(W26:AH26),0)</f>
        <v>200.29338103756709</v>
      </c>
      <c r="AJ26" s="242">
        <f>+SUM(W26:AH26)</f>
        <v>2403.520572450805</v>
      </c>
      <c r="AM26" s="241">
        <v>1</v>
      </c>
      <c r="AN26" s="240">
        <f>+$AI26*AM26</f>
        <v>200.29338103756709</v>
      </c>
      <c r="AO26" s="241">
        <v>0</v>
      </c>
      <c r="AP26" s="240">
        <f>+$AI26*AO26</f>
        <v>0</v>
      </c>
      <c r="AQ26" s="241">
        <v>0</v>
      </c>
      <c r="AR26" s="240">
        <f>+$AI26*AQ26</f>
        <v>0</v>
      </c>
      <c r="AS26" s="241">
        <v>0</v>
      </c>
      <c r="AT26" s="240">
        <f>+$AI26*AS26</f>
        <v>0</v>
      </c>
    </row>
    <row r="27" spans="2:46" s="241" customFormat="1" ht="12" customHeight="1" x14ac:dyDescent="0.25">
      <c r="B27" s="241" t="str">
        <f>"camas"&amp;"Residential"&amp;C27</f>
        <v>camasResidentialCRREC65</v>
      </c>
      <c r="C27" s="232" t="s">
        <v>418</v>
      </c>
      <c r="D27" s="257" t="s">
        <v>427</v>
      </c>
      <c r="E27" s="238">
        <v>0.37</v>
      </c>
      <c r="F27" s="238">
        <v>0.37</v>
      </c>
      <c r="G27" s="238">
        <v>0.37</v>
      </c>
      <c r="H27" s="243"/>
      <c r="I27" s="243">
        <v>0</v>
      </c>
      <c r="J27" s="243">
        <v>0</v>
      </c>
      <c r="K27" s="243">
        <v>0</v>
      </c>
      <c r="L27" s="243">
        <v>0</v>
      </c>
      <c r="M27" s="243">
        <v>0</v>
      </c>
      <c r="N27" s="243">
        <v>0</v>
      </c>
      <c r="O27" s="243">
        <v>0</v>
      </c>
      <c r="P27" s="243">
        <v>0</v>
      </c>
      <c r="Q27" s="243">
        <v>0</v>
      </c>
      <c r="R27" s="243">
        <v>0</v>
      </c>
      <c r="S27" s="243">
        <v>0</v>
      </c>
      <c r="T27" s="243">
        <v>0</v>
      </c>
      <c r="U27" s="233">
        <f t="shared" si="8"/>
        <v>0</v>
      </c>
      <c r="W27" s="240">
        <f t="shared" si="9"/>
        <v>0</v>
      </c>
      <c r="X27" s="240">
        <f t="shared" si="9"/>
        <v>0</v>
      </c>
      <c r="Y27" s="240">
        <f t="shared" si="9"/>
        <v>0</v>
      </c>
      <c r="Z27" s="240">
        <f t="shared" si="10"/>
        <v>0</v>
      </c>
      <c r="AA27" s="240">
        <f t="shared" si="10"/>
        <v>0</v>
      </c>
      <c r="AB27" s="240">
        <f t="shared" si="10"/>
        <v>0</v>
      </c>
      <c r="AC27" s="240">
        <f t="shared" si="10"/>
        <v>0</v>
      </c>
      <c r="AD27" s="240">
        <f t="shared" si="10"/>
        <v>0</v>
      </c>
      <c r="AE27" s="240">
        <f t="shared" si="10"/>
        <v>0</v>
      </c>
      <c r="AF27" s="240">
        <f t="shared" si="11"/>
        <v>0</v>
      </c>
      <c r="AG27" s="240">
        <f t="shared" si="11"/>
        <v>0</v>
      </c>
      <c r="AH27" s="240">
        <f t="shared" si="11"/>
        <v>0</v>
      </c>
      <c r="AI27" s="256">
        <f>+IFERROR(AVERAGE(W27:AH27),0)</f>
        <v>0</v>
      </c>
      <c r="AJ27" s="242">
        <f>+SUM(W27:AH27)</f>
        <v>0</v>
      </c>
      <c r="AM27" s="241">
        <v>0</v>
      </c>
      <c r="AN27" s="240">
        <f>+$AI27*AM27</f>
        <v>0</v>
      </c>
      <c r="AO27" s="241">
        <v>0</v>
      </c>
      <c r="AP27" s="240">
        <f>+$AI27*AO27</f>
        <v>0</v>
      </c>
      <c r="AQ27" s="241">
        <v>0</v>
      </c>
      <c r="AR27" s="240">
        <f>+$AI27*AQ27</f>
        <v>0</v>
      </c>
      <c r="AS27" s="241">
        <v>0</v>
      </c>
      <c r="AT27" s="240">
        <f>+$AI27*AS27</f>
        <v>0</v>
      </c>
    </row>
    <row r="28" spans="2:46" ht="12" customHeight="1" x14ac:dyDescent="0.25">
      <c r="B28" s="1" t="str">
        <f>"camas"&amp;"Residential"&amp;C28</f>
        <v>camasResidentialRPSBO</v>
      </c>
      <c r="C28" s="58" t="s">
        <v>1182</v>
      </c>
      <c r="D28" s="26" t="s">
        <v>1366</v>
      </c>
      <c r="E28" s="11">
        <v>0.37</v>
      </c>
      <c r="F28" s="11">
        <v>0.37</v>
      </c>
      <c r="G28" s="11">
        <v>0.37</v>
      </c>
      <c r="H28" s="14"/>
      <c r="I28" s="14">
        <v>0</v>
      </c>
      <c r="J28" s="14">
        <v>0</v>
      </c>
      <c r="K28" s="14">
        <v>0</v>
      </c>
      <c r="L28" s="14">
        <v>0</v>
      </c>
      <c r="M28" s="14">
        <v>0</v>
      </c>
      <c r="N28" s="14">
        <v>0</v>
      </c>
      <c r="O28" s="14">
        <v>0</v>
      </c>
      <c r="P28" s="14">
        <v>0</v>
      </c>
      <c r="Q28" s="14">
        <v>0</v>
      </c>
      <c r="R28" s="14">
        <v>0</v>
      </c>
      <c r="S28" s="14">
        <v>0</v>
      </c>
      <c r="T28" s="14">
        <v>0</v>
      </c>
      <c r="U28" s="16">
        <f t="shared" si="8"/>
        <v>0</v>
      </c>
      <c r="W28" s="13">
        <f t="shared" si="9"/>
        <v>0</v>
      </c>
      <c r="X28" s="13">
        <f t="shared" si="9"/>
        <v>0</v>
      </c>
      <c r="Y28" s="13">
        <f t="shared" si="9"/>
        <v>0</v>
      </c>
      <c r="Z28" s="13">
        <f t="shared" si="10"/>
        <v>0</v>
      </c>
      <c r="AA28" s="13">
        <f t="shared" si="10"/>
        <v>0</v>
      </c>
      <c r="AB28" s="13">
        <f t="shared" si="10"/>
        <v>0</v>
      </c>
      <c r="AC28" s="13">
        <f t="shared" si="10"/>
        <v>0</v>
      </c>
      <c r="AD28" s="13">
        <f t="shared" si="10"/>
        <v>0</v>
      </c>
      <c r="AE28" s="13">
        <f t="shared" si="10"/>
        <v>0</v>
      </c>
      <c r="AF28" s="13">
        <f t="shared" si="11"/>
        <v>0</v>
      </c>
      <c r="AG28" s="13">
        <f t="shared" si="11"/>
        <v>0</v>
      </c>
      <c r="AH28" s="13">
        <f t="shared" si="11"/>
        <v>0</v>
      </c>
      <c r="AI28" s="94">
        <f>+IFERROR(AVERAGE(W28:AH28),0)</f>
        <v>0</v>
      </c>
      <c r="AJ28" s="15">
        <f>+SUM(W28:AH28)</f>
        <v>0</v>
      </c>
      <c r="AM28" s="212">
        <v>0</v>
      </c>
      <c r="AN28" s="25">
        <f>+$AI28*AM28</f>
        <v>0</v>
      </c>
      <c r="AO28" s="212">
        <v>0</v>
      </c>
      <c r="AP28" s="25">
        <f>+$AI28*AO28</f>
        <v>0</v>
      </c>
      <c r="AQ28" s="212">
        <v>0</v>
      </c>
      <c r="AR28" s="25">
        <f>+$AI28*AQ28</f>
        <v>0</v>
      </c>
      <c r="AS28" s="212">
        <v>0</v>
      </c>
      <c r="AT28" s="25">
        <f>+$AI28*AS28</f>
        <v>0</v>
      </c>
    </row>
    <row r="29" spans="2:46" ht="12" customHeight="1" x14ac:dyDescent="0.25">
      <c r="B29" s="1" t="str">
        <f>"camas"&amp;"Multifamily"&amp;C29</f>
        <v>camasMultifamilyVMFREC</v>
      </c>
      <c r="C29" s="58" t="s">
        <v>787</v>
      </c>
      <c r="D29" s="26" t="s">
        <v>435</v>
      </c>
      <c r="E29" s="11">
        <v>0.37</v>
      </c>
      <c r="F29" s="11">
        <v>0.37</v>
      </c>
      <c r="G29" s="11">
        <v>0.37</v>
      </c>
      <c r="H29" s="14"/>
      <c r="I29" s="14">
        <v>0</v>
      </c>
      <c r="J29" s="14">
        <v>0</v>
      </c>
      <c r="K29" s="14">
        <v>0</v>
      </c>
      <c r="L29" s="14">
        <v>0</v>
      </c>
      <c r="M29" s="14">
        <v>0</v>
      </c>
      <c r="N29" s="14">
        <v>0</v>
      </c>
      <c r="O29" s="14">
        <v>0</v>
      </c>
      <c r="P29" s="14">
        <v>0</v>
      </c>
      <c r="Q29" s="14">
        <v>0</v>
      </c>
      <c r="R29" s="14">
        <v>0</v>
      </c>
      <c r="S29" s="14">
        <v>189.97</v>
      </c>
      <c r="T29" s="14">
        <v>189.97</v>
      </c>
      <c r="U29" s="16">
        <f>SUM(I29:T29)</f>
        <v>379.94</v>
      </c>
      <c r="W29" s="13"/>
      <c r="X29" s="13"/>
      <c r="Y29" s="13"/>
      <c r="Z29" s="13"/>
      <c r="AA29" s="13"/>
      <c r="AB29" s="13"/>
      <c r="AC29" s="13"/>
      <c r="AD29" s="13"/>
      <c r="AE29" s="13"/>
      <c r="AF29" s="13"/>
      <c r="AG29" s="13"/>
      <c r="AH29" s="13"/>
      <c r="AI29" s="94"/>
      <c r="AJ29" s="15"/>
      <c r="AM29" s="212"/>
      <c r="AN29" s="25"/>
      <c r="AO29" s="212"/>
      <c r="AP29" s="25"/>
      <c r="AQ29" s="212"/>
      <c r="AR29" s="25"/>
      <c r="AS29" s="212"/>
      <c r="AT29" s="25"/>
    </row>
    <row r="30" spans="2:46" ht="12" customHeight="1" x14ac:dyDescent="0.25">
      <c r="B30" s="1" t="str">
        <f>"camas"&amp;"Residential"&amp;C30</f>
        <v>camasResidentialRPLUS</v>
      </c>
      <c r="C30" s="58" t="s">
        <v>1297</v>
      </c>
      <c r="D30" s="26" t="s">
        <v>1298</v>
      </c>
      <c r="E30" s="11">
        <v>0.37</v>
      </c>
      <c r="F30" s="11">
        <v>0.37</v>
      </c>
      <c r="G30" s="11">
        <v>0.37</v>
      </c>
      <c r="H30" s="14"/>
      <c r="I30" s="14">
        <v>32.5</v>
      </c>
      <c r="J30" s="14">
        <v>42.5</v>
      </c>
      <c r="K30" s="14">
        <v>42.5</v>
      </c>
      <c r="L30" s="14">
        <v>65</v>
      </c>
      <c r="M30" s="14">
        <v>40</v>
      </c>
      <c r="N30" s="14">
        <v>85</v>
      </c>
      <c r="O30" s="14">
        <v>60</v>
      </c>
      <c r="P30" s="14">
        <v>100</v>
      </c>
      <c r="Q30" s="14">
        <v>100</v>
      </c>
      <c r="R30" s="14">
        <v>96</v>
      </c>
      <c r="S30" s="14">
        <v>108</v>
      </c>
      <c r="T30" s="14">
        <v>120</v>
      </c>
      <c r="U30" s="16">
        <f t="shared" si="8"/>
        <v>891.5</v>
      </c>
      <c r="W30" s="13">
        <f t="shared" ref="W30:Y32" si="12">IFERROR(I30/$E30,0)</f>
        <v>87.837837837837839</v>
      </c>
      <c r="X30" s="13">
        <f t="shared" si="12"/>
        <v>114.86486486486487</v>
      </c>
      <c r="Y30" s="13">
        <f t="shared" si="12"/>
        <v>114.86486486486487</v>
      </c>
      <c r="Z30" s="13">
        <f t="shared" ref="Z30:AE31" si="13">IFERROR(L30/$F30,0)</f>
        <v>175.67567567567568</v>
      </c>
      <c r="AA30" s="13">
        <f t="shared" si="13"/>
        <v>108.10810810810811</v>
      </c>
      <c r="AB30" s="13">
        <f t="shared" si="13"/>
        <v>229.72972972972974</v>
      </c>
      <c r="AC30" s="13">
        <f t="shared" si="13"/>
        <v>162.16216216216216</v>
      </c>
      <c r="AD30" s="13">
        <f t="shared" si="13"/>
        <v>270.27027027027026</v>
      </c>
      <c r="AE30" s="13">
        <f t="shared" si="13"/>
        <v>270.27027027027026</v>
      </c>
      <c r="AF30" s="13">
        <f t="shared" ref="AF30:AH32" si="14">IFERROR(R30/$G30,0)</f>
        <v>259.45945945945948</v>
      </c>
      <c r="AG30" s="13">
        <f t="shared" si="14"/>
        <v>291.89189189189187</v>
      </c>
      <c r="AH30" s="13">
        <f t="shared" si="14"/>
        <v>324.32432432432432</v>
      </c>
      <c r="AI30" s="94">
        <f>+IFERROR(AVERAGE(W30:AH30),0)</f>
        <v>200.78828828828827</v>
      </c>
      <c r="AJ30" s="15">
        <f>+SUM(W30:AH30)</f>
        <v>2409.4594594594591</v>
      </c>
      <c r="AM30" s="212">
        <v>0</v>
      </c>
      <c r="AN30" s="25">
        <f>+$AI30*AM30</f>
        <v>0</v>
      </c>
      <c r="AO30" s="212">
        <v>0</v>
      </c>
      <c r="AP30" s="25">
        <f>+$AI30*AO30</f>
        <v>0</v>
      </c>
      <c r="AQ30" s="212">
        <v>0</v>
      </c>
      <c r="AR30" s="25">
        <f>+$AI30*AQ30</f>
        <v>0</v>
      </c>
      <c r="AS30" s="212">
        <v>0</v>
      </c>
      <c r="AT30" s="25">
        <f>+$AI30*AS30</f>
        <v>0</v>
      </c>
    </row>
    <row r="31" spans="2:46" ht="12" customHeight="1" x14ac:dyDescent="0.25">
      <c r="B31" s="1" t="str">
        <f>"camas"&amp;"Multifamily"&amp;C31</f>
        <v>camasMultifamilyRPSMMF</v>
      </c>
      <c r="C31" s="58" t="s">
        <v>1179</v>
      </c>
      <c r="D31" s="26" t="s">
        <v>1366</v>
      </c>
      <c r="E31" s="11">
        <v>0.37</v>
      </c>
      <c r="F31" s="11">
        <v>0.37</v>
      </c>
      <c r="G31" s="11">
        <v>0.37</v>
      </c>
      <c r="H31" s="14"/>
      <c r="I31" s="14">
        <v>85.56</v>
      </c>
      <c r="J31" s="14">
        <v>85.56</v>
      </c>
      <c r="K31" s="14">
        <v>85.56</v>
      </c>
      <c r="L31" s="14">
        <v>85.56</v>
      </c>
      <c r="M31" s="14">
        <v>85.56</v>
      </c>
      <c r="N31" s="14">
        <v>85.56</v>
      </c>
      <c r="O31" s="14">
        <v>85.56</v>
      </c>
      <c r="P31" s="14">
        <v>85.56</v>
      </c>
      <c r="Q31" s="14">
        <v>85.56</v>
      </c>
      <c r="R31" s="14">
        <v>85.56</v>
      </c>
      <c r="S31" s="14">
        <v>213.89</v>
      </c>
      <c r="T31" s="14">
        <v>213.89</v>
      </c>
      <c r="U31" s="16">
        <f t="shared" si="8"/>
        <v>1283.3799999999997</v>
      </c>
      <c r="W31" s="13">
        <f t="shared" si="12"/>
        <v>231.24324324324326</v>
      </c>
      <c r="X31" s="13">
        <f t="shared" si="12"/>
        <v>231.24324324324326</v>
      </c>
      <c r="Y31" s="13">
        <f t="shared" si="12"/>
        <v>231.24324324324326</v>
      </c>
      <c r="Z31" s="13">
        <f t="shared" si="13"/>
        <v>231.24324324324326</v>
      </c>
      <c r="AA31" s="13">
        <f t="shared" si="13"/>
        <v>231.24324324324326</v>
      </c>
      <c r="AB31" s="13">
        <f t="shared" si="13"/>
        <v>231.24324324324326</v>
      </c>
      <c r="AC31" s="13">
        <f t="shared" si="13"/>
        <v>231.24324324324326</v>
      </c>
      <c r="AD31" s="13">
        <f t="shared" si="13"/>
        <v>231.24324324324326</v>
      </c>
      <c r="AE31" s="13">
        <f t="shared" si="13"/>
        <v>231.24324324324326</v>
      </c>
      <c r="AF31" s="13">
        <f t="shared" si="14"/>
        <v>231.24324324324326</v>
      </c>
      <c r="AG31" s="13">
        <f t="shared" si="14"/>
        <v>578.08108108108104</v>
      </c>
      <c r="AH31" s="13">
        <f t="shared" si="14"/>
        <v>578.08108108108104</v>
      </c>
      <c r="AI31" s="94">
        <f>+IFERROR(AVERAGE(W31:AH31),0)</f>
        <v>289.04954954954957</v>
      </c>
      <c r="AJ31" s="15">
        <f>+SUM(W31:AH31)</f>
        <v>3468.594594594595</v>
      </c>
      <c r="AM31" s="212">
        <v>0</v>
      </c>
      <c r="AN31" s="25">
        <f>+$AI31*AM31</f>
        <v>0</v>
      </c>
      <c r="AO31" s="212">
        <v>0</v>
      </c>
      <c r="AP31" s="25">
        <f>+$AI31*AO31</f>
        <v>0</v>
      </c>
      <c r="AQ31" s="212">
        <v>0</v>
      </c>
      <c r="AR31" s="25">
        <f>+$AI31*AQ31</f>
        <v>0</v>
      </c>
      <c r="AS31" s="212">
        <v>0</v>
      </c>
      <c r="AT31" s="25">
        <f>+$AI31*AS31</f>
        <v>0</v>
      </c>
    </row>
    <row r="32" spans="2:46" s="247" customFormat="1" ht="12" customHeight="1" x14ac:dyDescent="0.25">
      <c r="C32" s="258" t="s">
        <v>1118</v>
      </c>
      <c r="D32" s="259"/>
      <c r="E32" s="260">
        <v>7.41</v>
      </c>
      <c r="F32" s="260">
        <v>7.41</v>
      </c>
      <c r="G32" s="260">
        <v>7.41</v>
      </c>
      <c r="H32" s="260"/>
      <c r="I32" s="245">
        <v>58959.83</v>
      </c>
      <c r="J32" s="245">
        <v>66945.34</v>
      </c>
      <c r="K32" s="245">
        <v>64139.92</v>
      </c>
      <c r="L32" s="245">
        <v>64246.21</v>
      </c>
      <c r="M32" s="245">
        <v>64139.92</v>
      </c>
      <c r="N32" s="245">
        <v>64458.7</v>
      </c>
      <c r="O32" s="245">
        <v>64246.18</v>
      </c>
      <c r="P32" s="245">
        <v>64327.69</v>
      </c>
      <c r="Q32" s="245">
        <v>64273.35</v>
      </c>
      <c r="R32" s="245">
        <v>71594.59</v>
      </c>
      <c r="S32" s="245">
        <v>71594.59</v>
      </c>
      <c r="T32" s="245">
        <v>71103.62</v>
      </c>
      <c r="U32" s="233">
        <f t="shared" si="8"/>
        <v>790029.94</v>
      </c>
      <c r="W32" s="240">
        <f t="shared" si="12"/>
        <v>7956.7921727395415</v>
      </c>
      <c r="X32" s="240">
        <f t="shared" si="12"/>
        <v>9034.4588394062066</v>
      </c>
      <c r="Y32" s="240">
        <f t="shared" si="12"/>
        <v>8655.8596491228072</v>
      </c>
      <c r="Z32" s="240">
        <f t="shared" ref="Z32:AE32" si="15">IFERROR(L32/$E32,0)</f>
        <v>8670.2037786774617</v>
      </c>
      <c r="AA32" s="240">
        <f t="shared" si="15"/>
        <v>8655.8596491228072</v>
      </c>
      <c r="AB32" s="240">
        <f t="shared" si="15"/>
        <v>8698.8798920377867</v>
      </c>
      <c r="AC32" s="240">
        <f t="shared" si="15"/>
        <v>8670.1997300944677</v>
      </c>
      <c r="AD32" s="240">
        <f t="shared" si="15"/>
        <v>8681.1997300944677</v>
      </c>
      <c r="AE32" s="240">
        <f t="shared" si="15"/>
        <v>8673.8663967611337</v>
      </c>
      <c r="AF32" s="240">
        <f t="shared" si="14"/>
        <v>9661.8879892037785</v>
      </c>
      <c r="AG32" s="240">
        <f t="shared" si="14"/>
        <v>9661.8879892037785</v>
      </c>
      <c r="AH32" s="240">
        <f t="shared" si="14"/>
        <v>9595.630229419703</v>
      </c>
      <c r="AI32" s="256">
        <f>+IFERROR(AVERAGE(W32:AH32),0)</f>
        <v>8884.7271704903287</v>
      </c>
      <c r="AJ32" s="242">
        <f>+SUM(W32:AH32)</f>
        <v>106616.72604588394</v>
      </c>
      <c r="AK32" s="241"/>
      <c r="AM32" s="241">
        <v>0</v>
      </c>
      <c r="AN32" s="240">
        <f>+$AI32*AM32</f>
        <v>0</v>
      </c>
      <c r="AO32" s="241">
        <v>0</v>
      </c>
      <c r="AP32" s="240">
        <f>+$AI32*AO32</f>
        <v>0</v>
      </c>
      <c r="AQ32" s="241">
        <v>0</v>
      </c>
      <c r="AR32" s="240">
        <f>+$AI32*AQ32</f>
        <v>0</v>
      </c>
      <c r="AS32" s="241">
        <v>0</v>
      </c>
      <c r="AT32" s="240">
        <f>+$AI32*AS32</f>
        <v>0</v>
      </c>
    </row>
    <row r="33" spans="2:52" ht="12" customHeight="1" x14ac:dyDescent="0.25">
      <c r="C33" s="30"/>
      <c r="D33" s="30"/>
      <c r="E33" s="11"/>
      <c r="F33" s="11"/>
      <c r="G33" s="11"/>
      <c r="H33" s="11"/>
      <c r="W33" s="25"/>
      <c r="X33" s="25"/>
      <c r="Y33" s="25"/>
      <c r="Z33" s="25"/>
      <c r="AA33" s="25"/>
      <c r="AB33" s="25"/>
      <c r="AC33" s="25"/>
      <c r="AD33" s="25"/>
      <c r="AE33" s="25"/>
      <c r="AF33" s="25"/>
      <c r="AG33" s="25"/>
      <c r="AH33" s="25"/>
    </row>
    <row r="34" spans="2:52" ht="12" customHeight="1" x14ac:dyDescent="0.2">
      <c r="C34" s="30"/>
      <c r="D34" s="31" t="s">
        <v>6</v>
      </c>
      <c r="E34" s="11"/>
      <c r="F34" s="11"/>
      <c r="G34" s="11"/>
      <c r="H34" s="11"/>
      <c r="I34" s="23">
        <f>SUM(I26:I33)</f>
        <v>60187.41</v>
      </c>
      <c r="J34" s="23">
        <f t="shared" ref="J34:U34" si="16">SUM(J26:J33)</f>
        <v>68182.92</v>
      </c>
      <c r="K34" s="23">
        <f t="shared" si="16"/>
        <v>65377.5</v>
      </c>
      <c r="L34" s="23">
        <f t="shared" si="16"/>
        <v>65506.29</v>
      </c>
      <c r="M34" s="23">
        <f t="shared" si="16"/>
        <v>65375</v>
      </c>
      <c r="N34" s="23">
        <f t="shared" si="16"/>
        <v>65738.78</v>
      </c>
      <c r="O34" s="23">
        <f t="shared" si="16"/>
        <v>65501.26</v>
      </c>
      <c r="P34" s="23">
        <f t="shared" si="16"/>
        <v>65622.77</v>
      </c>
      <c r="Q34" s="23">
        <f t="shared" si="16"/>
        <v>65568.429999999993</v>
      </c>
      <c r="R34" s="23">
        <f t="shared" si="16"/>
        <v>72885.67</v>
      </c>
      <c r="S34" s="23">
        <f t="shared" si="16"/>
        <v>73276.69</v>
      </c>
      <c r="T34" s="23">
        <f t="shared" si="16"/>
        <v>72797.72</v>
      </c>
      <c r="U34" s="23">
        <f t="shared" si="16"/>
        <v>806020.44</v>
      </c>
      <c r="W34" s="182">
        <f>SUM(W26:W33)</f>
        <v>8474.3562591873488</v>
      </c>
      <c r="X34" s="182">
        <f t="shared" ref="X34:AJ34" si="17">SUM(X26:X33)</f>
        <v>9579.0499528810415</v>
      </c>
      <c r="Y34" s="182">
        <f t="shared" si="17"/>
        <v>9200.4507625976421</v>
      </c>
      <c r="Z34" s="182">
        <f t="shared" si="17"/>
        <v>9275.6057029631065</v>
      </c>
      <c r="AA34" s="182">
        <f t="shared" si="17"/>
        <v>9193.6940058408854</v>
      </c>
      <c r="AB34" s="182">
        <f t="shared" si="17"/>
        <v>9358.3358703774866</v>
      </c>
      <c r="AC34" s="182">
        <f t="shared" si="17"/>
        <v>9262.0881408665991</v>
      </c>
      <c r="AD34" s="182">
        <f t="shared" si="17"/>
        <v>9381.1962489747075</v>
      </c>
      <c r="AE34" s="182">
        <f t="shared" si="17"/>
        <v>9373.8629156413735</v>
      </c>
      <c r="AF34" s="182">
        <f t="shared" si="17"/>
        <v>10351.073697273208</v>
      </c>
      <c r="AG34" s="182">
        <f t="shared" si="17"/>
        <v>10741.206221568522</v>
      </c>
      <c r="AH34" s="182">
        <f t="shared" si="17"/>
        <v>10707.38089421688</v>
      </c>
      <c r="AI34" s="182">
        <f t="shared" si="17"/>
        <v>9574.8583893657342</v>
      </c>
      <c r="AJ34" s="182">
        <f t="shared" si="17"/>
        <v>114898.30067238881</v>
      </c>
      <c r="AN34" s="187">
        <f>SUM(AN26:AN32)</f>
        <v>200.29338103756709</v>
      </c>
      <c r="AP34" s="187">
        <f>SUM(AP26:AP32)</f>
        <v>0</v>
      </c>
      <c r="AR34" s="187">
        <f>SUM(AR26:AR32)</f>
        <v>0</v>
      </c>
      <c r="AT34" s="187">
        <f>SUM(AT26:AT32)</f>
        <v>0</v>
      </c>
    </row>
    <row r="35" spans="2:52" ht="12" customHeight="1" x14ac:dyDescent="0.25">
      <c r="C35" s="30"/>
      <c r="D35" s="30"/>
      <c r="E35" s="11"/>
      <c r="F35" s="11"/>
      <c r="G35" s="11"/>
      <c r="H35" s="11"/>
      <c r="W35" s="25"/>
      <c r="X35" s="25"/>
      <c r="Y35" s="25"/>
      <c r="Z35" s="25"/>
      <c r="AA35" s="25"/>
      <c r="AB35" s="25"/>
      <c r="AC35" s="25"/>
      <c r="AD35" s="25"/>
      <c r="AE35" s="25"/>
      <c r="AF35" s="25"/>
      <c r="AG35" s="25"/>
      <c r="AH35" s="25"/>
    </row>
    <row r="36" spans="2:52" ht="12" customHeight="1" x14ac:dyDescent="0.25">
      <c r="C36" s="32" t="s">
        <v>7</v>
      </c>
      <c r="D36" s="32" t="s">
        <v>7</v>
      </c>
      <c r="E36" s="11"/>
      <c r="F36" s="11"/>
      <c r="G36" s="11"/>
      <c r="H36" s="11"/>
      <c r="W36" s="25"/>
      <c r="X36" s="25"/>
      <c r="Y36" s="25"/>
      <c r="Z36" s="25"/>
      <c r="AA36" s="25"/>
      <c r="AB36" s="25"/>
      <c r="AC36" s="25"/>
      <c r="AD36" s="25"/>
      <c r="AE36" s="25"/>
      <c r="AF36" s="25"/>
      <c r="AG36" s="25"/>
      <c r="AH36" s="25"/>
    </row>
    <row r="37" spans="2:52" ht="12" customHeight="1" x14ac:dyDescent="0.25">
      <c r="C37" s="30"/>
      <c r="D37" s="30"/>
      <c r="E37" s="11"/>
      <c r="F37" s="11"/>
      <c r="G37" s="11"/>
      <c r="H37" s="11"/>
      <c r="X37" s="25"/>
      <c r="Y37" s="25"/>
      <c r="Z37" s="25"/>
      <c r="AA37" s="25"/>
      <c r="AB37" s="25"/>
      <c r="AC37" s="25"/>
      <c r="AD37" s="25"/>
      <c r="AE37" s="25"/>
      <c r="AF37" s="25"/>
      <c r="AG37" s="25"/>
      <c r="AH37" s="25"/>
    </row>
    <row r="38" spans="2:52" s="241" customFormat="1" ht="12" customHeight="1" x14ac:dyDescent="0.25">
      <c r="B38" s="241" t="str">
        <f>"camas"&amp;"residential"&amp;C38</f>
        <v>camasresidentialCAYDA</v>
      </c>
      <c r="C38" s="232" t="s">
        <v>645</v>
      </c>
      <c r="D38" s="232" t="s">
        <v>643</v>
      </c>
      <c r="E38" s="238">
        <v>91.77</v>
      </c>
      <c r="F38" s="238">
        <v>91.77</v>
      </c>
      <c r="G38" s="238">
        <v>95.18</v>
      </c>
      <c r="H38" s="238"/>
      <c r="I38" s="243">
        <v>3835.98</v>
      </c>
      <c r="J38" s="243">
        <v>6643.31</v>
      </c>
      <c r="K38" s="243">
        <v>3142.52</v>
      </c>
      <c r="L38" s="243">
        <v>2477.79</v>
      </c>
      <c r="M38" s="243">
        <v>1483.9399999999998</v>
      </c>
      <c r="N38" s="243">
        <v>1349.0150000000001</v>
      </c>
      <c r="O38" s="243">
        <v>1321.5049999999999</v>
      </c>
      <c r="P38" s="243">
        <v>555.33999999999992</v>
      </c>
      <c r="Q38" s="243">
        <v>821.34999999999991</v>
      </c>
      <c r="R38" s="243">
        <v>95.18</v>
      </c>
      <c r="S38" s="243">
        <v>2284.3199999999997</v>
      </c>
      <c r="T38" s="243">
        <v>2624.09</v>
      </c>
      <c r="U38" s="233">
        <f t="shared" ref="U38:U44" si="18">SUM(I38:T38)</f>
        <v>26634.34</v>
      </c>
      <c r="W38" s="240">
        <f t="shared" ref="W38:W44" si="19">IFERROR(I38/$E38,0)</f>
        <v>41.799934619156588</v>
      </c>
      <c r="X38" s="240">
        <f t="shared" ref="X38:X44" si="20">IFERROR(J38/$E38,0)</f>
        <v>72.390868475536678</v>
      </c>
      <c r="Y38" s="240">
        <f t="shared" ref="Y38:Y44" si="21">IFERROR(K38/$E38,0)</f>
        <v>34.243434673640621</v>
      </c>
      <c r="Z38" s="240">
        <f t="shared" ref="Z38:Z44" si="22">IFERROR(L38/$F38,0)</f>
        <v>27</v>
      </c>
      <c r="AA38" s="240">
        <f t="shared" ref="AA38:AA44" si="23">IFERROR(M38/$F38,0)</f>
        <v>16.170208129018196</v>
      </c>
      <c r="AB38" s="240">
        <f t="shared" ref="AB38:AB44" si="24">IFERROR(N38/$F38,0)</f>
        <v>14.69995641277106</v>
      </c>
      <c r="AC38" s="240">
        <f t="shared" ref="AC38:AC44" si="25">IFERROR(O38/$F38,0)</f>
        <v>14.400185245723003</v>
      </c>
      <c r="AD38" s="240">
        <f t="shared" ref="AD38:AD44" si="26">IFERROR(P38/$F38,0)</f>
        <v>6.0514329301514653</v>
      </c>
      <c r="AE38" s="240">
        <f t="shared" ref="AE38:AE44" si="27">IFERROR(Q38/$F38,0)</f>
        <v>8.9500926228615008</v>
      </c>
      <c r="AF38" s="240">
        <f t="shared" ref="AF38:AF44" si="28">IFERROR(R38/$G38,0)</f>
        <v>1</v>
      </c>
      <c r="AG38" s="240">
        <f t="shared" ref="AG38:AG44" si="29">IFERROR(S38/$G38,0)</f>
        <v>23.999999999999996</v>
      </c>
      <c r="AH38" s="240">
        <f t="shared" ref="AH38:AH44" si="30">IFERROR(T38/$G38,0)</f>
        <v>27.569762555158647</v>
      </c>
      <c r="AI38" s="256">
        <f t="shared" ref="AI38:AI44" si="31">+IFERROR(AVERAGE(W38:AH38),0)</f>
        <v>24.022989638668147</v>
      </c>
      <c r="AJ38" s="242">
        <f t="shared" ref="AJ38:AJ44" si="32">+SUM(W38:AH38)</f>
        <v>288.27587566401775</v>
      </c>
      <c r="AM38" s="241">
        <v>1</v>
      </c>
      <c r="AN38" s="240">
        <f t="shared" ref="AN38:AN44" si="33">+$AI38*AM38</f>
        <v>24.022989638668147</v>
      </c>
      <c r="AO38" s="241">
        <v>0</v>
      </c>
      <c r="AP38" s="240">
        <f>+$AI38*AO38</f>
        <v>0</v>
      </c>
      <c r="AQ38" s="241">
        <v>0</v>
      </c>
      <c r="AR38" s="240">
        <f>+$AI38*AQ38</f>
        <v>0</v>
      </c>
      <c r="AS38" s="241">
        <v>0</v>
      </c>
      <c r="AT38" s="240">
        <f>+$AI38*AS38</f>
        <v>0</v>
      </c>
      <c r="AU38" s="241">
        <v>0</v>
      </c>
      <c r="AV38" s="240">
        <f>+$AI38*AU38</f>
        <v>0</v>
      </c>
      <c r="AW38" s="241">
        <v>0</v>
      </c>
      <c r="AX38" s="240">
        <f>+$AI38*AW38</f>
        <v>0</v>
      </c>
      <c r="AY38" s="241">
        <v>0</v>
      </c>
      <c r="AZ38" s="240">
        <f>+$AI38*AY38</f>
        <v>0</v>
      </c>
    </row>
    <row r="39" spans="2:52" s="241" customFormat="1" ht="12" customHeight="1" x14ac:dyDescent="0.25">
      <c r="B39" s="241" t="str">
        <f>"camas"&amp;"residential"&amp;C39</f>
        <v>camasresidentialCAYDBM</v>
      </c>
      <c r="C39" s="232" t="s">
        <v>646</v>
      </c>
      <c r="D39" s="232" t="s">
        <v>644</v>
      </c>
      <c r="E39" s="238">
        <v>9.64</v>
      </c>
      <c r="F39" s="238">
        <v>9.64</v>
      </c>
      <c r="G39" s="238">
        <v>10</v>
      </c>
      <c r="H39" s="238"/>
      <c r="I39" s="243">
        <v>32677.295000000002</v>
      </c>
      <c r="J39" s="243">
        <v>33973.769999999997</v>
      </c>
      <c r="K39" s="243">
        <v>33415.86</v>
      </c>
      <c r="L39" s="243">
        <v>34141.33</v>
      </c>
      <c r="M39" s="243">
        <v>33673.79</v>
      </c>
      <c r="N39" s="243">
        <v>34181.03</v>
      </c>
      <c r="O39" s="243">
        <v>33718.31</v>
      </c>
      <c r="P39" s="243">
        <v>34214.769999999997</v>
      </c>
      <c r="Q39" s="243">
        <v>33790.609999999993</v>
      </c>
      <c r="R39" s="243">
        <v>24.1</v>
      </c>
      <c r="S39" s="243">
        <v>0</v>
      </c>
      <c r="T39" s="243">
        <v>35421.15</v>
      </c>
      <c r="U39" s="233">
        <f t="shared" si="18"/>
        <v>339232.01500000001</v>
      </c>
      <c r="W39" s="240">
        <f t="shared" si="19"/>
        <v>3389.7608921161827</v>
      </c>
      <c r="X39" s="240">
        <f t="shared" si="20"/>
        <v>3524.2499999999995</v>
      </c>
      <c r="Y39" s="240">
        <f t="shared" si="21"/>
        <v>3466.3755186721992</v>
      </c>
      <c r="Z39" s="240">
        <f t="shared" si="22"/>
        <v>3541.6317427385893</v>
      </c>
      <c r="AA39" s="240">
        <f t="shared" si="23"/>
        <v>3493.1317427385893</v>
      </c>
      <c r="AB39" s="240">
        <f t="shared" si="24"/>
        <v>3545.7499999999995</v>
      </c>
      <c r="AC39" s="240">
        <f t="shared" si="25"/>
        <v>3497.7499999999995</v>
      </c>
      <c r="AD39" s="240">
        <f t="shared" si="26"/>
        <v>3549.2499999999995</v>
      </c>
      <c r="AE39" s="240">
        <f t="shared" si="27"/>
        <v>3505.2499999999991</v>
      </c>
      <c r="AF39" s="240">
        <f t="shared" si="28"/>
        <v>2.41</v>
      </c>
      <c r="AG39" s="240">
        <f t="shared" si="29"/>
        <v>0</v>
      </c>
      <c r="AH39" s="240">
        <f t="shared" si="30"/>
        <v>3542.1150000000002</v>
      </c>
      <c r="AI39" s="256">
        <f t="shared" si="31"/>
        <v>2921.47290802213</v>
      </c>
      <c r="AJ39" s="242">
        <f t="shared" si="32"/>
        <v>35057.674896265562</v>
      </c>
      <c r="AM39" s="241">
        <v>1</v>
      </c>
      <c r="AN39" s="240">
        <f t="shared" si="33"/>
        <v>2921.47290802213</v>
      </c>
      <c r="AO39" s="241">
        <v>0</v>
      </c>
      <c r="AP39" s="240">
        <f t="shared" ref="AP39:AP44" si="34">+$AI39*AO39</f>
        <v>0</v>
      </c>
      <c r="AQ39" s="241">
        <v>0</v>
      </c>
      <c r="AR39" s="240">
        <f t="shared" ref="AR39:AR44" si="35">+$AI39*AQ39</f>
        <v>0</v>
      </c>
      <c r="AS39" s="241">
        <v>0</v>
      </c>
      <c r="AT39" s="240">
        <f t="shared" ref="AT39:AT44" si="36">+$AI39*AS39</f>
        <v>0</v>
      </c>
    </row>
    <row r="40" spans="2:52" s="241" customFormat="1" ht="12" customHeight="1" x14ac:dyDescent="0.25">
      <c r="B40" s="241" t="str">
        <f>"camas"&amp;"residential"&amp;C40</f>
        <v>camasresidentialCYDBM96</v>
      </c>
      <c r="C40" s="232" t="s">
        <v>438</v>
      </c>
      <c r="D40" s="232" t="s">
        <v>448</v>
      </c>
      <c r="E40" s="238">
        <v>9.64</v>
      </c>
      <c r="F40" s="238">
        <v>9.64</v>
      </c>
      <c r="G40" s="238">
        <v>10</v>
      </c>
      <c r="H40" s="238"/>
      <c r="I40" s="243">
        <v>0</v>
      </c>
      <c r="J40" s="243">
        <v>4.82</v>
      </c>
      <c r="K40" s="243">
        <v>4.82</v>
      </c>
      <c r="L40" s="243">
        <v>0</v>
      </c>
      <c r="M40" s="243">
        <v>0</v>
      </c>
      <c r="N40" s="243">
        <v>7.23</v>
      </c>
      <c r="O40" s="243">
        <v>7.23</v>
      </c>
      <c r="P40" s="243">
        <v>0</v>
      </c>
      <c r="Q40" s="243">
        <v>0</v>
      </c>
      <c r="R40" s="243">
        <v>0</v>
      </c>
      <c r="S40" s="243">
        <v>0</v>
      </c>
      <c r="T40" s="243">
        <v>0</v>
      </c>
      <c r="U40" s="233">
        <f t="shared" si="18"/>
        <v>24.1</v>
      </c>
      <c r="W40" s="240">
        <f t="shared" si="19"/>
        <v>0</v>
      </c>
      <c r="X40" s="240">
        <f t="shared" si="20"/>
        <v>0.5</v>
      </c>
      <c r="Y40" s="240">
        <f t="shared" si="21"/>
        <v>0.5</v>
      </c>
      <c r="Z40" s="240">
        <f t="shared" si="22"/>
        <v>0</v>
      </c>
      <c r="AA40" s="240">
        <f t="shared" si="23"/>
        <v>0</v>
      </c>
      <c r="AB40" s="240">
        <f t="shared" si="24"/>
        <v>0.75</v>
      </c>
      <c r="AC40" s="240">
        <f t="shared" si="25"/>
        <v>0.75</v>
      </c>
      <c r="AD40" s="240">
        <f t="shared" si="26"/>
        <v>0</v>
      </c>
      <c r="AE40" s="240">
        <f t="shared" si="27"/>
        <v>0</v>
      </c>
      <c r="AF40" s="240">
        <f t="shared" si="28"/>
        <v>0</v>
      </c>
      <c r="AG40" s="240">
        <f t="shared" si="29"/>
        <v>0</v>
      </c>
      <c r="AH40" s="240">
        <f t="shared" si="30"/>
        <v>0</v>
      </c>
      <c r="AI40" s="256">
        <f t="shared" si="31"/>
        <v>0.20833333333333334</v>
      </c>
      <c r="AJ40" s="242">
        <f t="shared" si="32"/>
        <v>2.5</v>
      </c>
      <c r="AM40" s="241">
        <v>1</v>
      </c>
      <c r="AN40" s="240">
        <f t="shared" si="33"/>
        <v>0.20833333333333334</v>
      </c>
      <c r="AO40" s="241">
        <v>0</v>
      </c>
      <c r="AP40" s="240">
        <f t="shared" si="34"/>
        <v>0</v>
      </c>
      <c r="AQ40" s="241">
        <v>0</v>
      </c>
      <c r="AR40" s="240">
        <f t="shared" si="35"/>
        <v>0</v>
      </c>
      <c r="AS40" s="241">
        <v>0</v>
      </c>
      <c r="AT40" s="240">
        <f t="shared" si="36"/>
        <v>0</v>
      </c>
    </row>
    <row r="41" spans="2:52" ht="12" customHeight="1" x14ac:dyDescent="0.25">
      <c r="B41" s="1" t="str">
        <f>"camas"&amp;"residential"&amp;C41</f>
        <v>camasresidentialYDRENT</v>
      </c>
      <c r="C41" s="58" t="s">
        <v>442</v>
      </c>
      <c r="D41" s="58" t="s">
        <v>452</v>
      </c>
      <c r="E41" s="11">
        <v>4.84</v>
      </c>
      <c r="F41" s="11">
        <v>4.84</v>
      </c>
      <c r="G41" s="11">
        <v>5.0199999999999996</v>
      </c>
      <c r="H41" s="11"/>
      <c r="I41" s="14">
        <v>20.185000000000002</v>
      </c>
      <c r="J41" s="14">
        <v>24.2</v>
      </c>
      <c r="K41" s="14">
        <v>24.2</v>
      </c>
      <c r="L41" s="14">
        <v>25.45</v>
      </c>
      <c r="M41" s="14">
        <v>18.549999999999997</v>
      </c>
      <c r="N41" s="14">
        <v>19.36</v>
      </c>
      <c r="O41" s="14">
        <v>16.86</v>
      </c>
      <c r="P41" s="14">
        <v>19.36</v>
      </c>
      <c r="Q41" s="14">
        <v>19.36</v>
      </c>
      <c r="R41" s="14">
        <v>0</v>
      </c>
      <c r="S41" s="14">
        <v>0</v>
      </c>
      <c r="T41" s="14">
        <v>20.079999999999998</v>
      </c>
      <c r="U41" s="16">
        <f t="shared" si="18"/>
        <v>207.60500000000002</v>
      </c>
      <c r="W41" s="13">
        <f t="shared" si="19"/>
        <v>4.1704545454545459</v>
      </c>
      <c r="X41" s="13">
        <f t="shared" si="20"/>
        <v>5</v>
      </c>
      <c r="Y41" s="13">
        <f t="shared" si="21"/>
        <v>5</v>
      </c>
      <c r="Z41" s="13">
        <f t="shared" si="22"/>
        <v>5.2582644628099171</v>
      </c>
      <c r="AA41" s="13">
        <f t="shared" si="23"/>
        <v>3.8326446280991733</v>
      </c>
      <c r="AB41" s="13">
        <f t="shared" si="24"/>
        <v>4</v>
      </c>
      <c r="AC41" s="13">
        <f t="shared" si="25"/>
        <v>3.4834710743801653</v>
      </c>
      <c r="AD41" s="13">
        <f t="shared" si="26"/>
        <v>4</v>
      </c>
      <c r="AE41" s="13">
        <f t="shared" si="27"/>
        <v>4</v>
      </c>
      <c r="AF41" s="13">
        <f t="shared" si="28"/>
        <v>0</v>
      </c>
      <c r="AG41" s="13">
        <f t="shared" si="29"/>
        <v>0</v>
      </c>
      <c r="AH41" s="13">
        <f t="shared" si="30"/>
        <v>4</v>
      </c>
      <c r="AI41" s="94">
        <f t="shared" si="31"/>
        <v>3.5620695592286502</v>
      </c>
      <c r="AJ41" s="15">
        <f t="shared" si="32"/>
        <v>42.744834710743802</v>
      </c>
      <c r="AM41" s="212">
        <v>0</v>
      </c>
      <c r="AN41" s="25">
        <f t="shared" si="33"/>
        <v>0</v>
      </c>
      <c r="AO41" s="212">
        <v>0</v>
      </c>
      <c r="AP41" s="25">
        <f t="shared" si="34"/>
        <v>0</v>
      </c>
      <c r="AQ41" s="212">
        <v>0</v>
      </c>
      <c r="AR41" s="25">
        <f t="shared" si="35"/>
        <v>0</v>
      </c>
      <c r="AS41" s="212">
        <v>0</v>
      </c>
      <c r="AT41" s="25">
        <f t="shared" si="36"/>
        <v>0</v>
      </c>
    </row>
    <row r="42" spans="2:52" ht="12" customHeight="1" x14ac:dyDescent="0.25">
      <c r="B42" s="1" t="str">
        <f>"camas"&amp;"residential extras"&amp;C42</f>
        <v>camasresidential extrasYDX</v>
      </c>
      <c r="C42" s="58" t="s">
        <v>439</v>
      </c>
      <c r="D42" s="58" t="s">
        <v>449</v>
      </c>
      <c r="E42" s="11">
        <v>3.44</v>
      </c>
      <c r="F42" s="11">
        <v>3.44</v>
      </c>
      <c r="G42" s="11">
        <v>3.57</v>
      </c>
      <c r="H42" s="11"/>
      <c r="I42" s="14">
        <v>288.95999999999998</v>
      </c>
      <c r="J42" s="14">
        <v>956.32</v>
      </c>
      <c r="K42" s="14">
        <v>1104.2400000000002</v>
      </c>
      <c r="L42" s="14">
        <v>409.35999999999996</v>
      </c>
      <c r="M42" s="14">
        <v>371.52</v>
      </c>
      <c r="N42" s="14">
        <v>392.15999999999997</v>
      </c>
      <c r="O42" s="14">
        <v>681.12000000000012</v>
      </c>
      <c r="P42" s="14">
        <v>1613.3599999999997</v>
      </c>
      <c r="Q42" s="14">
        <v>488.47999999999996</v>
      </c>
      <c r="R42" s="14">
        <v>201.27999999999997</v>
      </c>
      <c r="S42" s="14">
        <v>217.9</v>
      </c>
      <c r="T42" s="14">
        <v>528.36000000000013</v>
      </c>
      <c r="U42" s="16">
        <f t="shared" si="18"/>
        <v>7253.0599999999995</v>
      </c>
      <c r="W42" s="13">
        <f t="shared" si="19"/>
        <v>84</v>
      </c>
      <c r="X42" s="13">
        <f t="shared" si="20"/>
        <v>278</v>
      </c>
      <c r="Y42" s="13">
        <f t="shared" si="21"/>
        <v>321.00000000000006</v>
      </c>
      <c r="Z42" s="13">
        <f t="shared" si="22"/>
        <v>118.99999999999999</v>
      </c>
      <c r="AA42" s="13">
        <f t="shared" si="23"/>
        <v>108</v>
      </c>
      <c r="AB42" s="13">
        <f t="shared" si="24"/>
        <v>113.99999999999999</v>
      </c>
      <c r="AC42" s="13">
        <f t="shared" si="25"/>
        <v>198.00000000000003</v>
      </c>
      <c r="AD42" s="13">
        <f t="shared" si="26"/>
        <v>468.99999999999989</v>
      </c>
      <c r="AE42" s="13">
        <f t="shared" si="27"/>
        <v>142</v>
      </c>
      <c r="AF42" s="13">
        <f t="shared" si="28"/>
        <v>56.380952380952372</v>
      </c>
      <c r="AG42" s="13">
        <f t="shared" si="29"/>
        <v>61.036414565826334</v>
      </c>
      <c r="AH42" s="13">
        <f t="shared" si="30"/>
        <v>148.00000000000003</v>
      </c>
      <c r="AI42" s="94">
        <f t="shared" si="31"/>
        <v>174.86811391223156</v>
      </c>
      <c r="AJ42" s="15">
        <f t="shared" si="32"/>
        <v>2098.4173669467787</v>
      </c>
      <c r="AM42" s="212">
        <v>0</v>
      </c>
      <c r="AN42" s="25">
        <f t="shared" si="33"/>
        <v>0</v>
      </c>
      <c r="AO42" s="212">
        <v>0</v>
      </c>
      <c r="AP42" s="25">
        <f t="shared" si="34"/>
        <v>0</v>
      </c>
      <c r="AQ42" s="212">
        <v>0</v>
      </c>
      <c r="AR42" s="25">
        <f t="shared" si="35"/>
        <v>0</v>
      </c>
      <c r="AS42" s="212">
        <v>0</v>
      </c>
      <c r="AT42" s="25">
        <f t="shared" si="36"/>
        <v>0</v>
      </c>
    </row>
    <row r="43" spans="2:52" ht="12" customHeight="1" x14ac:dyDescent="0.25">
      <c r="B43" s="1" t="str">
        <f>"camas"&amp;"residential extras"&amp;C43</f>
        <v>camasresidential extrasYDOC</v>
      </c>
      <c r="C43" s="58" t="s">
        <v>444</v>
      </c>
      <c r="D43" s="58" t="s">
        <v>454</v>
      </c>
      <c r="E43" s="11">
        <v>7.78</v>
      </c>
      <c r="F43" s="11">
        <v>7.78</v>
      </c>
      <c r="G43" s="11">
        <v>8.07</v>
      </c>
      <c r="H43" s="11"/>
      <c r="I43" s="14">
        <v>38.9</v>
      </c>
      <c r="J43" s="14">
        <v>124.48</v>
      </c>
      <c r="K43" s="14">
        <v>38.9</v>
      </c>
      <c r="L43" s="14">
        <v>70.02</v>
      </c>
      <c r="M43" s="14">
        <v>23.34</v>
      </c>
      <c r="N43" s="14">
        <v>31.12</v>
      </c>
      <c r="O43" s="14">
        <v>15.56</v>
      </c>
      <c r="P43" s="14">
        <v>15.56</v>
      </c>
      <c r="Q43" s="14">
        <v>23.34</v>
      </c>
      <c r="R43" s="14">
        <v>0</v>
      </c>
      <c r="S43" s="14">
        <v>0</v>
      </c>
      <c r="T43" s="14">
        <v>24.21</v>
      </c>
      <c r="U43" s="16">
        <f t="shared" si="18"/>
        <v>405.42999999999995</v>
      </c>
      <c r="W43" s="13">
        <f t="shared" si="19"/>
        <v>5</v>
      </c>
      <c r="X43" s="13">
        <f t="shared" si="20"/>
        <v>16</v>
      </c>
      <c r="Y43" s="13">
        <f t="shared" si="21"/>
        <v>5</v>
      </c>
      <c r="Z43" s="13">
        <f t="shared" si="22"/>
        <v>9</v>
      </c>
      <c r="AA43" s="13">
        <f t="shared" si="23"/>
        <v>3</v>
      </c>
      <c r="AB43" s="13">
        <f t="shared" si="24"/>
        <v>4</v>
      </c>
      <c r="AC43" s="13">
        <f t="shared" si="25"/>
        <v>2</v>
      </c>
      <c r="AD43" s="13">
        <f t="shared" si="26"/>
        <v>2</v>
      </c>
      <c r="AE43" s="13">
        <f t="shared" si="27"/>
        <v>3</v>
      </c>
      <c r="AF43" s="13">
        <f t="shared" si="28"/>
        <v>0</v>
      </c>
      <c r="AG43" s="13">
        <f t="shared" si="29"/>
        <v>0</v>
      </c>
      <c r="AH43" s="13">
        <f t="shared" si="30"/>
        <v>3</v>
      </c>
      <c r="AI43" s="94">
        <f t="shared" si="31"/>
        <v>4.333333333333333</v>
      </c>
      <c r="AJ43" s="15">
        <f t="shared" si="32"/>
        <v>52</v>
      </c>
      <c r="AM43" s="212">
        <v>0</v>
      </c>
      <c r="AN43" s="25">
        <f t="shared" si="33"/>
        <v>0</v>
      </c>
      <c r="AO43" s="212">
        <v>0</v>
      </c>
      <c r="AP43" s="25">
        <f t="shared" si="34"/>
        <v>0</v>
      </c>
      <c r="AQ43" s="212">
        <v>0</v>
      </c>
      <c r="AR43" s="25">
        <f t="shared" si="35"/>
        <v>0</v>
      </c>
      <c r="AS43" s="212">
        <v>0</v>
      </c>
      <c r="AT43" s="25">
        <f t="shared" si="36"/>
        <v>0</v>
      </c>
    </row>
    <row r="44" spans="2:52" ht="12" customHeight="1" x14ac:dyDescent="0.25">
      <c r="B44" s="1" t="str">
        <f>"camas"&amp;"residential extras"&amp;C44</f>
        <v>camasresidential extrasYDRESTART</v>
      </c>
      <c r="C44" s="58" t="s">
        <v>445</v>
      </c>
      <c r="D44" s="58" t="s">
        <v>455</v>
      </c>
      <c r="E44" s="11">
        <v>31.03</v>
      </c>
      <c r="F44" s="11">
        <v>31.03</v>
      </c>
      <c r="G44" s="11">
        <v>32.18</v>
      </c>
      <c r="H44" s="11"/>
      <c r="I44" s="14">
        <v>0</v>
      </c>
      <c r="J44" s="14">
        <v>0</v>
      </c>
      <c r="K44" s="14">
        <v>31.03</v>
      </c>
      <c r="L44" s="14">
        <v>0</v>
      </c>
      <c r="M44" s="14">
        <v>31.03</v>
      </c>
      <c r="N44" s="14">
        <v>0</v>
      </c>
      <c r="O44" s="14">
        <v>31.03</v>
      </c>
      <c r="P44" s="14">
        <v>0</v>
      </c>
      <c r="Q44" s="14">
        <v>0</v>
      </c>
      <c r="R44" s="14">
        <v>0</v>
      </c>
      <c r="S44" s="14">
        <v>32.18</v>
      </c>
      <c r="T44" s="14">
        <v>0</v>
      </c>
      <c r="U44" s="16">
        <f t="shared" si="18"/>
        <v>125.27000000000001</v>
      </c>
      <c r="W44" s="13">
        <f t="shared" si="19"/>
        <v>0</v>
      </c>
      <c r="X44" s="13">
        <f t="shared" si="20"/>
        <v>0</v>
      </c>
      <c r="Y44" s="13">
        <f t="shared" si="21"/>
        <v>1</v>
      </c>
      <c r="Z44" s="13">
        <f t="shared" si="22"/>
        <v>0</v>
      </c>
      <c r="AA44" s="13">
        <f t="shared" si="23"/>
        <v>1</v>
      </c>
      <c r="AB44" s="13">
        <f t="shared" si="24"/>
        <v>0</v>
      </c>
      <c r="AC44" s="13">
        <f t="shared" si="25"/>
        <v>1</v>
      </c>
      <c r="AD44" s="13">
        <f t="shared" si="26"/>
        <v>0</v>
      </c>
      <c r="AE44" s="13">
        <f t="shared" si="27"/>
        <v>0</v>
      </c>
      <c r="AF44" s="13">
        <f t="shared" si="28"/>
        <v>0</v>
      </c>
      <c r="AG44" s="13">
        <f t="shared" si="29"/>
        <v>1</v>
      </c>
      <c r="AH44" s="13">
        <f t="shared" si="30"/>
        <v>0</v>
      </c>
      <c r="AI44" s="94">
        <f t="shared" si="31"/>
        <v>0.33333333333333331</v>
      </c>
      <c r="AJ44" s="15">
        <f t="shared" si="32"/>
        <v>4</v>
      </c>
      <c r="AM44" s="212">
        <v>0</v>
      </c>
      <c r="AN44" s="25">
        <f t="shared" si="33"/>
        <v>0</v>
      </c>
      <c r="AO44" s="212">
        <v>0</v>
      </c>
      <c r="AP44" s="25">
        <f t="shared" si="34"/>
        <v>0</v>
      </c>
      <c r="AQ44" s="212">
        <v>0</v>
      </c>
      <c r="AR44" s="25">
        <f t="shared" si="35"/>
        <v>0</v>
      </c>
      <c r="AS44" s="212">
        <v>0</v>
      </c>
      <c r="AT44" s="25">
        <f t="shared" si="36"/>
        <v>0</v>
      </c>
    </row>
    <row r="45" spans="2:52" ht="12" customHeight="1" x14ac:dyDescent="0.25">
      <c r="C45" s="30"/>
      <c r="D45" s="30"/>
      <c r="E45" s="11"/>
      <c r="F45" s="11"/>
      <c r="G45" s="11"/>
      <c r="H45" s="11"/>
      <c r="W45" s="13"/>
      <c r="X45" s="13"/>
      <c r="Y45" s="13"/>
      <c r="Z45" s="13"/>
      <c r="AA45" s="13"/>
      <c r="AB45" s="13"/>
      <c r="AC45" s="13"/>
      <c r="AD45" s="13"/>
      <c r="AE45" s="13"/>
      <c r="AF45" s="13"/>
      <c r="AG45" s="13"/>
      <c r="AH45" s="13"/>
      <c r="AI45" s="94"/>
      <c r="AJ45" s="15"/>
    </row>
    <row r="46" spans="2:52" ht="12" customHeight="1" x14ac:dyDescent="0.2">
      <c r="C46" s="30"/>
      <c r="D46" s="31" t="s">
        <v>8</v>
      </c>
      <c r="E46" s="11"/>
      <c r="F46" s="11"/>
      <c r="G46" s="11"/>
      <c r="H46" s="21"/>
      <c r="I46" s="23">
        <f t="shared" ref="I46:U46" si="37">SUM(I38:I45)</f>
        <v>36861.32</v>
      </c>
      <c r="J46" s="23">
        <f t="shared" si="37"/>
        <v>41726.899999999994</v>
      </c>
      <c r="K46" s="23">
        <f t="shared" si="37"/>
        <v>37761.569999999992</v>
      </c>
      <c r="L46" s="23">
        <f t="shared" si="37"/>
        <v>37123.949999999997</v>
      </c>
      <c r="M46" s="23">
        <f t="shared" si="37"/>
        <v>35602.17</v>
      </c>
      <c r="N46" s="23">
        <f t="shared" si="37"/>
        <v>35979.915000000008</v>
      </c>
      <c r="O46" s="23">
        <f t="shared" si="37"/>
        <v>35791.614999999998</v>
      </c>
      <c r="P46" s="23">
        <f t="shared" si="37"/>
        <v>36418.389999999992</v>
      </c>
      <c r="Q46" s="23">
        <f t="shared" si="37"/>
        <v>35143.139999999992</v>
      </c>
      <c r="R46" s="23">
        <f t="shared" si="37"/>
        <v>320.55999999999995</v>
      </c>
      <c r="S46" s="23">
        <f t="shared" si="37"/>
        <v>2534.3999999999996</v>
      </c>
      <c r="T46" s="23">
        <f t="shared" si="37"/>
        <v>38617.890000000007</v>
      </c>
      <c r="U46" s="23">
        <f t="shared" si="37"/>
        <v>373881.82</v>
      </c>
      <c r="W46" s="180">
        <f t="shared" ref="W46:AJ46" si="38">SUM(W38:W40)</f>
        <v>3431.5608267353391</v>
      </c>
      <c r="X46" s="180">
        <f t="shared" si="38"/>
        <v>3597.1408684755361</v>
      </c>
      <c r="Y46" s="180">
        <f t="shared" si="38"/>
        <v>3501.1189533458396</v>
      </c>
      <c r="Z46" s="180">
        <f t="shared" si="38"/>
        <v>3568.6317427385893</v>
      </c>
      <c r="AA46" s="180">
        <f t="shared" si="38"/>
        <v>3509.3019508676075</v>
      </c>
      <c r="AB46" s="180">
        <f t="shared" si="38"/>
        <v>3561.1999564127705</v>
      </c>
      <c r="AC46" s="180">
        <f t="shared" si="38"/>
        <v>3512.9001852457227</v>
      </c>
      <c r="AD46" s="180">
        <f t="shared" si="38"/>
        <v>3555.3014329301509</v>
      </c>
      <c r="AE46" s="180">
        <f t="shared" si="38"/>
        <v>3514.2000926228607</v>
      </c>
      <c r="AF46" s="180">
        <f t="shared" si="38"/>
        <v>3.41</v>
      </c>
      <c r="AG46" s="180">
        <f t="shared" si="38"/>
        <v>23.999999999999996</v>
      </c>
      <c r="AH46" s="180">
        <f t="shared" si="38"/>
        <v>3569.6847625551591</v>
      </c>
      <c r="AI46" s="180">
        <f t="shared" si="38"/>
        <v>2945.7042309941316</v>
      </c>
      <c r="AJ46" s="180">
        <f t="shared" si="38"/>
        <v>35348.45077192958</v>
      </c>
      <c r="AN46" s="181">
        <f>SUM(AN38:AN41)</f>
        <v>2945.7042309941316</v>
      </c>
      <c r="AP46" s="181">
        <f>SUM(AP38:AP41)</f>
        <v>0</v>
      </c>
      <c r="AR46" s="181">
        <f>SUM(AR38:AR41)</f>
        <v>0</v>
      </c>
      <c r="AT46" s="181">
        <f>SUM(AT38:AT41)</f>
        <v>0</v>
      </c>
    </row>
    <row r="47" spans="2:52" ht="12" customHeight="1" x14ac:dyDescent="0.25">
      <c r="C47" s="30"/>
      <c r="D47" s="30"/>
      <c r="E47" s="11"/>
      <c r="F47" s="11"/>
      <c r="G47" s="11"/>
      <c r="H47" s="20"/>
      <c r="W47" s="25"/>
      <c r="X47" s="25"/>
      <c r="Y47" s="25"/>
      <c r="Z47" s="25"/>
      <c r="AA47" s="25"/>
      <c r="AB47" s="25"/>
      <c r="AC47" s="25"/>
      <c r="AH47" s="25"/>
    </row>
    <row r="48" spans="2:52" ht="12" customHeight="1" x14ac:dyDescent="0.25">
      <c r="C48" s="27" t="s">
        <v>9</v>
      </c>
      <c r="D48" s="27" t="s">
        <v>9</v>
      </c>
      <c r="E48" s="11"/>
      <c r="F48" s="11"/>
      <c r="G48" s="11"/>
      <c r="H48" s="11"/>
      <c r="I48" s="12"/>
      <c r="J48" s="13" t="str">
        <f>IF(H48="","",(#REF!/H48)+(#REF!/#REF!))</f>
        <v/>
      </c>
      <c r="K48" s="13" t="str">
        <f>IF(H48="","",J48/12)</f>
        <v/>
      </c>
      <c r="W48" s="25"/>
      <c r="X48" s="25"/>
      <c r="Y48" s="25"/>
      <c r="Z48" s="25"/>
      <c r="AA48" s="25"/>
      <c r="AB48" s="25"/>
      <c r="AC48" s="25"/>
      <c r="AD48" s="25"/>
      <c r="AE48" s="25"/>
      <c r="AF48" s="25"/>
      <c r="AG48" s="25"/>
      <c r="AH48" s="25"/>
    </row>
    <row r="49" spans="2:46" ht="12" customHeight="1" x14ac:dyDescent="0.25">
      <c r="C49" s="27"/>
      <c r="D49" s="27"/>
      <c r="E49" s="11"/>
      <c r="F49" s="11"/>
      <c r="G49" s="11"/>
      <c r="H49" s="11"/>
      <c r="I49" s="12"/>
      <c r="J49" s="13" t="str">
        <f>IF(H49="","",(#REF!/H49)+(#REF!/#REF!))</f>
        <v/>
      </c>
      <c r="K49" s="13" t="str">
        <f>IF(H49="","",J49/12)</f>
        <v/>
      </c>
      <c r="W49" s="25"/>
      <c r="X49" s="25"/>
      <c r="Y49" s="25"/>
      <c r="Z49" s="25"/>
      <c r="AA49" s="25"/>
      <c r="AB49" s="25"/>
      <c r="AC49" s="25"/>
      <c r="AD49" s="25"/>
      <c r="AE49" s="25"/>
      <c r="AF49" s="25"/>
      <c r="AG49" s="25"/>
      <c r="AH49" s="25"/>
    </row>
    <row r="50" spans="2:46" ht="12" customHeight="1" x14ac:dyDescent="0.25">
      <c r="C50" s="29" t="s">
        <v>10</v>
      </c>
      <c r="D50" s="29" t="s">
        <v>10</v>
      </c>
      <c r="E50" s="11"/>
      <c r="F50" s="11"/>
      <c r="G50" s="11"/>
      <c r="H50" s="11"/>
      <c r="I50" s="12"/>
      <c r="J50" s="13" t="str">
        <f>IF(H50="","",(#REF!/H50)+(#REF!/#REF!))</f>
        <v/>
      </c>
      <c r="K50" s="13" t="str">
        <f>IF(H50="","",J50/12)</f>
        <v/>
      </c>
      <c r="W50" s="13"/>
      <c r="X50" s="13"/>
      <c r="Y50" s="13"/>
      <c r="Z50" s="13"/>
      <c r="AA50" s="13"/>
      <c r="AB50" s="13"/>
      <c r="AC50" s="13"/>
      <c r="AD50" s="13"/>
      <c r="AE50" s="13"/>
      <c r="AF50" s="13"/>
      <c r="AG50" s="13"/>
      <c r="AH50" s="13"/>
      <c r="AI50" s="94"/>
      <c r="AJ50" s="15"/>
    </row>
    <row r="51" spans="2:46" s="241" customFormat="1" ht="12" customHeight="1" x14ac:dyDescent="0.25">
      <c r="B51" s="241" t="str">
        <f t="shared" ref="B51:B59" si="39">"camas"&amp;"commercial"&amp;C51</f>
        <v>camascommercialCCCMP4Y</v>
      </c>
      <c r="C51" s="232" t="s">
        <v>149</v>
      </c>
      <c r="D51" s="232" t="s">
        <v>252</v>
      </c>
      <c r="E51" s="238">
        <v>566.79999999999995</v>
      </c>
      <c r="F51" s="238">
        <v>566.79999999999995</v>
      </c>
      <c r="G51" s="238">
        <v>587.23</v>
      </c>
      <c r="H51" s="238"/>
      <c r="I51" s="243">
        <v>566.79999999999995</v>
      </c>
      <c r="J51" s="243">
        <v>566.79999999999995</v>
      </c>
      <c r="K51" s="243">
        <v>566.79999999999995</v>
      </c>
      <c r="L51" s="243">
        <v>566.79999999999995</v>
      </c>
      <c r="M51" s="243">
        <v>566.79999999999995</v>
      </c>
      <c r="N51" s="243">
        <v>564.16</v>
      </c>
      <c r="O51" s="243">
        <v>564.16</v>
      </c>
      <c r="P51" s="243">
        <v>564.16</v>
      </c>
      <c r="Q51" s="243">
        <v>564.16</v>
      </c>
      <c r="R51" s="243">
        <v>587.23</v>
      </c>
      <c r="S51" s="243">
        <v>587.23</v>
      </c>
      <c r="T51" s="243">
        <v>587.23</v>
      </c>
      <c r="U51" s="233">
        <f t="shared" ref="U51:U59" si="40">SUM(I51:T51)</f>
        <v>6852.3299999999981</v>
      </c>
      <c r="W51" s="240">
        <f t="shared" ref="W51:W59" si="41">IFERROR(I51/$E51,0)</f>
        <v>1</v>
      </c>
      <c r="X51" s="240">
        <f t="shared" ref="X51:X59" si="42">IFERROR(J51/$E51,0)</f>
        <v>1</v>
      </c>
      <c r="Y51" s="240">
        <f t="shared" ref="Y51:Y59" si="43">IFERROR(K51/$E51,0)</f>
        <v>1</v>
      </c>
      <c r="Z51" s="240">
        <f t="shared" ref="Z51:Z59" si="44">IFERROR(L51/$F51,0)</f>
        <v>1</v>
      </c>
      <c r="AA51" s="240">
        <f t="shared" ref="AA51:AA59" si="45">IFERROR(M51/$F51,0)</f>
        <v>1</v>
      </c>
      <c r="AB51" s="240">
        <f t="shared" ref="AB51:AB59" si="46">IFERROR(N51/$F51,0)</f>
        <v>0.99534227240649265</v>
      </c>
      <c r="AC51" s="240">
        <f t="shared" ref="AC51:AC59" si="47">IFERROR(O51/$F51,0)</f>
        <v>0.99534227240649265</v>
      </c>
      <c r="AD51" s="240">
        <f t="shared" ref="AD51:AD59" si="48">IFERROR(P51/$F51,0)</f>
        <v>0.99534227240649265</v>
      </c>
      <c r="AE51" s="240">
        <f t="shared" ref="AE51:AE59" si="49">IFERROR(Q51/$F51,0)</f>
        <v>0.99534227240649265</v>
      </c>
      <c r="AF51" s="240">
        <f t="shared" ref="AF51:AF59" si="50">IFERROR(R51/$G51,0)</f>
        <v>1</v>
      </c>
      <c r="AG51" s="240">
        <f t="shared" ref="AG51:AG59" si="51">IFERROR(S51/$G51,0)</f>
        <v>1</v>
      </c>
      <c r="AH51" s="240">
        <f t="shared" ref="AH51:AH59" si="52">IFERROR(T51/$G51,0)</f>
        <v>1</v>
      </c>
      <c r="AI51" s="256">
        <f t="shared" ref="AI51:AI59" si="53">+IFERROR(AVERAGE(W51:AH51),0)</f>
        <v>0.99844742413549759</v>
      </c>
      <c r="AJ51" s="242">
        <f t="shared" ref="AJ51:AJ59" si="54">+SUM(W51:AH51)</f>
        <v>11.981369089625971</v>
      </c>
      <c r="AM51" s="241">
        <v>0</v>
      </c>
      <c r="AN51" s="240">
        <f>+$AI51*AM51</f>
        <v>0</v>
      </c>
      <c r="AO51" s="241">
        <v>1</v>
      </c>
      <c r="AP51" s="240">
        <f>+$AI51*AO51</f>
        <v>0.99844742413549759</v>
      </c>
      <c r="AQ51" s="241">
        <v>0</v>
      </c>
      <c r="AR51" s="240">
        <f>+$AI51*AQ51</f>
        <v>0</v>
      </c>
      <c r="AS51" s="241">
        <v>0</v>
      </c>
      <c r="AT51" s="240">
        <f>+$AI51*AS51</f>
        <v>0</v>
      </c>
    </row>
    <row r="52" spans="2:46" ht="12" customHeight="1" x14ac:dyDescent="0.25">
      <c r="B52" s="1" t="str">
        <f t="shared" si="39"/>
        <v>camascommercialCTIME1M</v>
      </c>
      <c r="C52" s="58" t="s">
        <v>197</v>
      </c>
      <c r="D52" s="58" t="s">
        <v>102</v>
      </c>
      <c r="E52" s="11">
        <v>1.8</v>
      </c>
      <c r="F52" s="11">
        <v>1.8</v>
      </c>
      <c r="G52" s="11">
        <v>1.8</v>
      </c>
      <c r="H52" s="11"/>
      <c r="I52" s="14">
        <v>54.3</v>
      </c>
      <c r="J52" s="14">
        <v>190.05</v>
      </c>
      <c r="K52" s="14">
        <v>108.6</v>
      </c>
      <c r="L52" s="14">
        <v>27.15</v>
      </c>
      <c r="M52" s="14">
        <v>244.35</v>
      </c>
      <c r="N52" s="14">
        <v>27.15</v>
      </c>
      <c r="O52" s="14">
        <v>135.44999999999999</v>
      </c>
      <c r="P52" s="14">
        <v>27</v>
      </c>
      <c r="Q52" s="14">
        <v>0</v>
      </c>
      <c r="R52" s="14">
        <v>0</v>
      </c>
      <c r="S52" s="14">
        <v>0</v>
      </c>
      <c r="T52" s="14">
        <v>27</v>
      </c>
      <c r="U52" s="16">
        <f t="shared" si="40"/>
        <v>841.05</v>
      </c>
      <c r="W52" s="13">
        <f t="shared" si="41"/>
        <v>30.166666666666664</v>
      </c>
      <c r="X52" s="13">
        <f t="shared" si="42"/>
        <v>105.58333333333334</v>
      </c>
      <c r="Y52" s="13">
        <f t="shared" si="43"/>
        <v>60.333333333333329</v>
      </c>
      <c r="Z52" s="13">
        <f t="shared" si="44"/>
        <v>15.083333333333332</v>
      </c>
      <c r="AA52" s="13">
        <f t="shared" si="45"/>
        <v>135.75</v>
      </c>
      <c r="AB52" s="13">
        <f t="shared" si="46"/>
        <v>15.083333333333332</v>
      </c>
      <c r="AC52" s="13">
        <f t="shared" si="47"/>
        <v>75.249999999999986</v>
      </c>
      <c r="AD52" s="13">
        <f t="shared" si="48"/>
        <v>15</v>
      </c>
      <c r="AE52" s="13">
        <f t="shared" si="49"/>
        <v>0</v>
      </c>
      <c r="AF52" s="13">
        <f t="shared" si="50"/>
        <v>0</v>
      </c>
      <c r="AG52" s="13">
        <f t="shared" si="51"/>
        <v>0</v>
      </c>
      <c r="AH52" s="13">
        <f t="shared" si="52"/>
        <v>15</v>
      </c>
      <c r="AI52" s="94">
        <f t="shared" si="53"/>
        <v>38.937499999999993</v>
      </c>
      <c r="AJ52" s="15">
        <f t="shared" si="54"/>
        <v>467.24999999999994</v>
      </c>
    </row>
    <row r="53" spans="2:46" ht="13.5" customHeight="1" x14ac:dyDescent="0.25">
      <c r="B53" s="1" t="str">
        <f t="shared" si="39"/>
        <v>camascommercialCCSP4Y</v>
      </c>
      <c r="C53" s="58" t="s">
        <v>155</v>
      </c>
      <c r="D53" s="58" t="s">
        <v>258</v>
      </c>
      <c r="E53" s="11">
        <v>7.18</v>
      </c>
      <c r="F53" s="11">
        <v>7.18</v>
      </c>
      <c r="G53" s="11">
        <v>7.18</v>
      </c>
      <c r="H53" s="11"/>
      <c r="I53" s="14">
        <v>0</v>
      </c>
      <c r="J53" s="14">
        <v>0</v>
      </c>
      <c r="K53" s="14">
        <v>17.57</v>
      </c>
      <c r="L53" s="14">
        <v>0</v>
      </c>
      <c r="M53" s="14">
        <v>0</v>
      </c>
      <c r="N53" s="14">
        <v>0</v>
      </c>
      <c r="O53" s="14">
        <v>0</v>
      </c>
      <c r="P53" s="14">
        <v>0</v>
      </c>
      <c r="Q53" s="14">
        <v>0</v>
      </c>
      <c r="R53" s="14">
        <v>0</v>
      </c>
      <c r="S53" s="14">
        <v>0</v>
      </c>
      <c r="T53" s="14">
        <v>0</v>
      </c>
      <c r="U53" s="16">
        <f t="shared" si="40"/>
        <v>17.57</v>
      </c>
      <c r="W53" s="13">
        <f t="shared" si="41"/>
        <v>0</v>
      </c>
      <c r="X53" s="13">
        <f t="shared" si="42"/>
        <v>0</v>
      </c>
      <c r="Y53" s="13">
        <f t="shared" si="43"/>
        <v>2.4470752089136494</v>
      </c>
      <c r="Z53" s="13">
        <f t="shared" si="44"/>
        <v>0</v>
      </c>
      <c r="AA53" s="13">
        <f t="shared" si="45"/>
        <v>0</v>
      </c>
      <c r="AB53" s="13">
        <f t="shared" si="46"/>
        <v>0</v>
      </c>
      <c r="AC53" s="13">
        <f t="shared" si="47"/>
        <v>0</v>
      </c>
      <c r="AD53" s="13">
        <f t="shared" si="48"/>
        <v>0</v>
      </c>
      <c r="AE53" s="13">
        <f t="shared" si="49"/>
        <v>0</v>
      </c>
      <c r="AF53" s="13">
        <f t="shared" si="50"/>
        <v>0</v>
      </c>
      <c r="AG53" s="13">
        <f t="shared" si="51"/>
        <v>0</v>
      </c>
      <c r="AH53" s="13">
        <f t="shared" si="52"/>
        <v>0</v>
      </c>
      <c r="AI53" s="94">
        <f t="shared" si="53"/>
        <v>0.20392293407613746</v>
      </c>
      <c r="AJ53" s="15">
        <f t="shared" si="54"/>
        <v>2.4470752089136494</v>
      </c>
    </row>
    <row r="54" spans="2:46" ht="12" customHeight="1" x14ac:dyDescent="0.25">
      <c r="B54" s="1" t="str">
        <f t="shared" si="39"/>
        <v>camascommercialVCCMP3Y</v>
      </c>
      <c r="C54" s="58" t="s">
        <v>826</v>
      </c>
      <c r="D54" s="58" t="s">
        <v>251</v>
      </c>
      <c r="E54" s="11">
        <v>7.18</v>
      </c>
      <c r="F54" s="11">
        <v>7.18</v>
      </c>
      <c r="G54" s="11">
        <v>7.18</v>
      </c>
      <c r="H54" s="11"/>
      <c r="I54" s="14">
        <v>0</v>
      </c>
      <c r="J54" s="14">
        <v>0</v>
      </c>
      <c r="K54" s="14">
        <v>0</v>
      </c>
      <c r="L54" s="14">
        <v>0</v>
      </c>
      <c r="M54" s="14">
        <v>0</v>
      </c>
      <c r="N54" s="14">
        <v>0</v>
      </c>
      <c r="O54" s="14">
        <v>0</v>
      </c>
      <c r="P54" s="14">
        <v>0</v>
      </c>
      <c r="Q54" s="14">
        <v>0</v>
      </c>
      <c r="R54" s="14">
        <v>0</v>
      </c>
      <c r="S54" s="14">
        <v>754</v>
      </c>
      <c r="T54" s="14">
        <v>754</v>
      </c>
      <c r="U54" s="16">
        <f t="shared" si="40"/>
        <v>1508</v>
      </c>
      <c r="W54" s="13">
        <f t="shared" si="41"/>
        <v>0</v>
      </c>
      <c r="X54" s="13">
        <f t="shared" si="42"/>
        <v>0</v>
      </c>
      <c r="Y54" s="13">
        <f t="shared" si="43"/>
        <v>0</v>
      </c>
      <c r="Z54" s="13">
        <f t="shared" si="44"/>
        <v>0</v>
      </c>
      <c r="AA54" s="13">
        <f t="shared" si="45"/>
        <v>0</v>
      </c>
      <c r="AB54" s="13">
        <f t="shared" si="46"/>
        <v>0</v>
      </c>
      <c r="AC54" s="13">
        <f t="shared" si="47"/>
        <v>0</v>
      </c>
      <c r="AD54" s="13">
        <f t="shared" si="48"/>
        <v>0</v>
      </c>
      <c r="AE54" s="13">
        <f t="shared" si="49"/>
        <v>0</v>
      </c>
      <c r="AF54" s="13">
        <f t="shared" si="50"/>
        <v>0</v>
      </c>
      <c r="AG54" s="13">
        <f t="shared" si="51"/>
        <v>105.01392757660167</v>
      </c>
      <c r="AH54" s="13">
        <f t="shared" si="52"/>
        <v>105.01392757660167</v>
      </c>
      <c r="AI54" s="94">
        <f t="shared" si="53"/>
        <v>17.502321262766944</v>
      </c>
      <c r="AJ54" s="15">
        <f t="shared" si="54"/>
        <v>210.02785515320335</v>
      </c>
    </row>
    <row r="55" spans="2:46" ht="12" customHeight="1" x14ac:dyDescent="0.25">
      <c r="B55" s="1" t="str">
        <f t="shared" si="39"/>
        <v>camascommercialVCSP3YC</v>
      </c>
      <c r="C55" s="58" t="s">
        <v>849</v>
      </c>
      <c r="D55" s="58" t="s">
        <v>876</v>
      </c>
      <c r="E55" s="11">
        <v>7.18</v>
      </c>
      <c r="F55" s="11">
        <v>7.18</v>
      </c>
      <c r="G55" s="11">
        <v>7.18</v>
      </c>
      <c r="H55" s="11"/>
      <c r="I55" s="14">
        <v>0</v>
      </c>
      <c r="J55" s="14">
        <v>0</v>
      </c>
      <c r="K55" s="14">
        <v>0</v>
      </c>
      <c r="L55" s="14">
        <v>0</v>
      </c>
      <c r="M55" s="14">
        <v>0</v>
      </c>
      <c r="N55" s="14">
        <v>0</v>
      </c>
      <c r="O55" s="14">
        <v>0</v>
      </c>
      <c r="P55" s="14">
        <v>0</v>
      </c>
      <c r="Q55" s="14">
        <v>0</v>
      </c>
      <c r="R55" s="14">
        <v>0</v>
      </c>
      <c r="S55" s="14">
        <v>212.69</v>
      </c>
      <c r="T55" s="14">
        <v>0</v>
      </c>
      <c r="U55" s="16">
        <f t="shared" si="40"/>
        <v>212.69</v>
      </c>
      <c r="W55" s="13">
        <f t="shared" si="41"/>
        <v>0</v>
      </c>
      <c r="X55" s="13">
        <f t="shared" si="42"/>
        <v>0</v>
      </c>
      <c r="Y55" s="13">
        <f t="shared" si="43"/>
        <v>0</v>
      </c>
      <c r="Z55" s="13">
        <f t="shared" si="44"/>
        <v>0</v>
      </c>
      <c r="AA55" s="13">
        <f t="shared" si="45"/>
        <v>0</v>
      </c>
      <c r="AB55" s="13">
        <f t="shared" si="46"/>
        <v>0</v>
      </c>
      <c r="AC55" s="13">
        <f t="shared" si="47"/>
        <v>0</v>
      </c>
      <c r="AD55" s="13">
        <f t="shared" si="48"/>
        <v>0</v>
      </c>
      <c r="AE55" s="13">
        <f t="shared" si="49"/>
        <v>0</v>
      </c>
      <c r="AF55" s="13">
        <f t="shared" si="50"/>
        <v>0</v>
      </c>
      <c r="AG55" s="13">
        <f t="shared" si="51"/>
        <v>29.622562674094709</v>
      </c>
      <c r="AH55" s="13">
        <f t="shared" si="52"/>
        <v>0</v>
      </c>
      <c r="AI55" s="94">
        <f t="shared" si="53"/>
        <v>2.4685468895078926</v>
      </c>
      <c r="AJ55" s="15">
        <f t="shared" si="54"/>
        <v>29.622562674094709</v>
      </c>
    </row>
    <row r="56" spans="2:46" ht="12" customHeight="1" x14ac:dyDescent="0.25">
      <c r="B56" s="1" t="str">
        <f t="shared" si="39"/>
        <v>camascommercialCCTRIP</v>
      </c>
      <c r="C56" s="58" t="s">
        <v>199</v>
      </c>
      <c r="D56" s="58" t="s">
        <v>293</v>
      </c>
      <c r="E56" s="11">
        <v>7.18</v>
      </c>
      <c r="F56" s="11">
        <v>7.18</v>
      </c>
      <c r="G56" s="11">
        <v>35.49</v>
      </c>
      <c r="H56" s="11"/>
      <c r="I56" s="14">
        <v>0</v>
      </c>
      <c r="J56" s="14">
        <v>0</v>
      </c>
      <c r="K56" s="14">
        <v>82.88</v>
      </c>
      <c r="L56" s="14">
        <v>0</v>
      </c>
      <c r="M56" s="14">
        <v>0</v>
      </c>
      <c r="N56" s="14">
        <v>0</v>
      </c>
      <c r="O56" s="14">
        <v>0</v>
      </c>
      <c r="P56" s="14">
        <v>0</v>
      </c>
      <c r="Q56" s="14">
        <v>35.49</v>
      </c>
      <c r="R56" s="14">
        <v>0</v>
      </c>
      <c r="S56" s="14">
        <v>0</v>
      </c>
      <c r="T56" s="14">
        <v>0</v>
      </c>
      <c r="U56" s="16">
        <f t="shared" si="40"/>
        <v>118.37</v>
      </c>
      <c r="W56" s="13">
        <f t="shared" si="41"/>
        <v>0</v>
      </c>
      <c r="X56" s="13">
        <f t="shared" si="42"/>
        <v>0</v>
      </c>
      <c r="Y56" s="13">
        <f t="shared" si="43"/>
        <v>11.543175487465181</v>
      </c>
      <c r="Z56" s="13">
        <f t="shared" si="44"/>
        <v>0</v>
      </c>
      <c r="AA56" s="13">
        <f t="shared" si="45"/>
        <v>0</v>
      </c>
      <c r="AB56" s="13">
        <f t="shared" si="46"/>
        <v>0</v>
      </c>
      <c r="AC56" s="13">
        <f t="shared" si="47"/>
        <v>0</v>
      </c>
      <c r="AD56" s="13">
        <f t="shared" si="48"/>
        <v>0</v>
      </c>
      <c r="AE56" s="13">
        <f t="shared" si="49"/>
        <v>4.9428969359331481</v>
      </c>
      <c r="AF56" s="13">
        <f t="shared" si="50"/>
        <v>0</v>
      </c>
      <c r="AG56" s="13">
        <f t="shared" si="51"/>
        <v>0</v>
      </c>
      <c r="AH56" s="13">
        <f t="shared" si="52"/>
        <v>0</v>
      </c>
      <c r="AI56" s="94">
        <f>+IFERROR(AVERAGE(W56:AH56),0)</f>
        <v>1.3738393686165276</v>
      </c>
      <c r="AJ56" s="15">
        <f>+SUM(W56:AH56)</f>
        <v>16.48607242339833</v>
      </c>
    </row>
    <row r="57" spans="2:46" ht="12" customHeight="1" x14ac:dyDescent="0.25">
      <c r="B57" s="1" t="str">
        <f t="shared" si="39"/>
        <v>camascommercialCRTRIP</v>
      </c>
      <c r="C57" s="58" t="s">
        <v>200</v>
      </c>
      <c r="D57" s="58" t="s">
        <v>106</v>
      </c>
      <c r="E57" s="11">
        <v>7.18</v>
      </c>
      <c r="F57" s="11">
        <v>7.18</v>
      </c>
      <c r="G57" s="11">
        <v>7.18</v>
      </c>
      <c r="H57" s="11"/>
      <c r="I57" s="14">
        <v>0</v>
      </c>
      <c r="J57" s="14">
        <v>0</v>
      </c>
      <c r="K57" s="14">
        <v>20.72</v>
      </c>
      <c r="L57" s="14">
        <v>0</v>
      </c>
      <c r="M57" s="14">
        <v>0</v>
      </c>
      <c r="N57" s="14">
        <v>0</v>
      </c>
      <c r="O57" s="14">
        <v>0</v>
      </c>
      <c r="P57" s="14">
        <v>0</v>
      </c>
      <c r="Q57" s="14">
        <v>0</v>
      </c>
      <c r="R57" s="14">
        <v>0</v>
      </c>
      <c r="S57" s="14">
        <v>0</v>
      </c>
      <c r="T57" s="14">
        <v>0</v>
      </c>
      <c r="U57" s="16">
        <f t="shared" si="40"/>
        <v>20.72</v>
      </c>
      <c r="W57" s="13">
        <f t="shared" si="41"/>
        <v>0</v>
      </c>
      <c r="X57" s="13">
        <f t="shared" si="42"/>
        <v>0</v>
      </c>
      <c r="Y57" s="13">
        <f t="shared" si="43"/>
        <v>2.8857938718662952</v>
      </c>
      <c r="Z57" s="13">
        <f t="shared" si="44"/>
        <v>0</v>
      </c>
      <c r="AA57" s="13">
        <f t="shared" si="45"/>
        <v>0</v>
      </c>
      <c r="AB57" s="13">
        <f t="shared" si="46"/>
        <v>0</v>
      </c>
      <c r="AC57" s="13">
        <f t="shared" si="47"/>
        <v>0</v>
      </c>
      <c r="AD57" s="13">
        <f t="shared" si="48"/>
        <v>0</v>
      </c>
      <c r="AE57" s="13">
        <f t="shared" si="49"/>
        <v>0</v>
      </c>
      <c r="AF57" s="13">
        <f t="shared" si="50"/>
        <v>0</v>
      </c>
      <c r="AG57" s="13">
        <f t="shared" si="51"/>
        <v>0</v>
      </c>
      <c r="AH57" s="13">
        <f t="shared" si="52"/>
        <v>0</v>
      </c>
      <c r="AI57" s="94">
        <f>+IFERROR(AVERAGE(W57:AH57),0)</f>
        <v>0.24048282265552459</v>
      </c>
      <c r="AJ57" s="15">
        <f>+SUM(W57:AH57)</f>
        <v>2.8857938718662952</v>
      </c>
    </row>
    <row r="58" spans="2:46" ht="12" customHeight="1" x14ac:dyDescent="0.25">
      <c r="B58" s="1" t="str">
        <f t="shared" si="39"/>
        <v>camascommercialVLOCK</v>
      </c>
      <c r="C58" s="58" t="s">
        <v>647</v>
      </c>
      <c r="D58" s="58" t="s">
        <v>648</v>
      </c>
      <c r="E58" s="11">
        <v>7.18</v>
      </c>
      <c r="F58" s="11">
        <v>7.18</v>
      </c>
      <c r="G58" s="11">
        <v>7.18</v>
      </c>
      <c r="H58" s="11"/>
      <c r="I58" s="14">
        <v>7.18</v>
      </c>
      <c r="J58" s="14">
        <v>7.18</v>
      </c>
      <c r="K58" s="14">
        <v>7.18</v>
      </c>
      <c r="L58" s="14">
        <v>7.18</v>
      </c>
      <c r="M58" s="14">
        <v>7.18</v>
      </c>
      <c r="N58" s="14">
        <v>7.14</v>
      </c>
      <c r="O58" s="14">
        <v>7.14</v>
      </c>
      <c r="P58" s="14">
        <v>7.14</v>
      </c>
      <c r="Q58" s="14">
        <v>7.14</v>
      </c>
      <c r="R58" s="14">
        <v>7.14</v>
      </c>
      <c r="S58" s="14">
        <v>7.14</v>
      </c>
      <c r="T58" s="14">
        <v>7.14</v>
      </c>
      <c r="U58" s="16">
        <f t="shared" si="40"/>
        <v>85.88</v>
      </c>
      <c r="W58" s="13">
        <f t="shared" si="41"/>
        <v>1</v>
      </c>
      <c r="X58" s="13">
        <f t="shared" si="42"/>
        <v>1</v>
      </c>
      <c r="Y58" s="13">
        <f t="shared" si="43"/>
        <v>1</v>
      </c>
      <c r="Z58" s="13">
        <f t="shared" si="44"/>
        <v>1</v>
      </c>
      <c r="AA58" s="13">
        <f t="shared" si="45"/>
        <v>1</v>
      </c>
      <c r="AB58" s="13">
        <f t="shared" si="46"/>
        <v>0.99442896935933145</v>
      </c>
      <c r="AC58" s="13">
        <f t="shared" si="47"/>
        <v>0.99442896935933145</v>
      </c>
      <c r="AD58" s="13">
        <f t="shared" si="48"/>
        <v>0.99442896935933145</v>
      </c>
      <c r="AE58" s="13">
        <f t="shared" si="49"/>
        <v>0.99442896935933145</v>
      </c>
      <c r="AF58" s="13">
        <f t="shared" si="50"/>
        <v>0.99442896935933145</v>
      </c>
      <c r="AG58" s="13">
        <f t="shared" si="51"/>
        <v>0.99442896935933145</v>
      </c>
      <c r="AH58" s="13">
        <f t="shared" si="52"/>
        <v>0.99442896935933145</v>
      </c>
      <c r="AI58" s="94">
        <f t="shared" si="53"/>
        <v>0.99675023212627678</v>
      </c>
      <c r="AJ58" s="15">
        <f t="shared" si="54"/>
        <v>11.961002785515321</v>
      </c>
    </row>
    <row r="59" spans="2:46" ht="12" customHeight="1" x14ac:dyDescent="0.25">
      <c r="B59" s="1" t="str">
        <f t="shared" si="39"/>
        <v>camascommercialCCEXYD</v>
      </c>
      <c r="C59" s="58" t="s">
        <v>175</v>
      </c>
      <c r="D59" s="58" t="s">
        <v>271</v>
      </c>
      <c r="E59" s="11">
        <v>18.68</v>
      </c>
      <c r="F59" s="11">
        <v>18.68</v>
      </c>
      <c r="G59" s="11">
        <v>21.07</v>
      </c>
      <c r="H59" s="11"/>
      <c r="I59" s="14">
        <v>0</v>
      </c>
      <c r="J59" s="14">
        <v>0</v>
      </c>
      <c r="K59" s="14">
        <v>0</v>
      </c>
      <c r="L59" s="14">
        <v>0</v>
      </c>
      <c r="M59" s="14">
        <v>62.82</v>
      </c>
      <c r="N59" s="14">
        <v>20.94</v>
      </c>
      <c r="O59" s="14">
        <v>0</v>
      </c>
      <c r="P59" s="14">
        <v>0</v>
      </c>
      <c r="Q59" s="14">
        <v>0</v>
      </c>
      <c r="R59" s="14">
        <v>0</v>
      </c>
      <c r="S59" s="14">
        <v>0</v>
      </c>
      <c r="T59" s="14">
        <v>84.28</v>
      </c>
      <c r="U59" s="16">
        <f t="shared" si="40"/>
        <v>168.04000000000002</v>
      </c>
      <c r="W59" s="240">
        <f t="shared" si="41"/>
        <v>0</v>
      </c>
      <c r="X59" s="240">
        <f t="shared" si="42"/>
        <v>0</v>
      </c>
      <c r="Y59" s="240">
        <f t="shared" si="43"/>
        <v>0</v>
      </c>
      <c r="Z59" s="240">
        <f t="shared" si="44"/>
        <v>0</v>
      </c>
      <c r="AA59" s="240">
        <f t="shared" si="45"/>
        <v>3.3629550321199142</v>
      </c>
      <c r="AB59" s="240">
        <f t="shared" si="46"/>
        <v>1.1209850107066381</v>
      </c>
      <c r="AC59" s="240">
        <f t="shared" si="47"/>
        <v>0</v>
      </c>
      <c r="AD59" s="240">
        <f t="shared" si="48"/>
        <v>0</v>
      </c>
      <c r="AE59" s="240">
        <f t="shared" si="49"/>
        <v>0</v>
      </c>
      <c r="AF59" s="240">
        <f t="shared" si="50"/>
        <v>0</v>
      </c>
      <c r="AG59" s="240">
        <f t="shared" si="51"/>
        <v>0</v>
      </c>
      <c r="AH59" s="240">
        <f t="shared" si="52"/>
        <v>4</v>
      </c>
      <c r="AI59" s="256">
        <f t="shared" si="53"/>
        <v>0.70699500356887945</v>
      </c>
      <c r="AJ59" s="242">
        <f t="shared" si="54"/>
        <v>8.4839400428265535</v>
      </c>
    </row>
    <row r="60" spans="2:46" ht="12" customHeight="1" x14ac:dyDescent="0.25">
      <c r="C60" s="26"/>
      <c r="D60" s="26"/>
      <c r="E60" s="11"/>
      <c r="F60" s="11"/>
      <c r="G60" s="11"/>
      <c r="H60" s="11"/>
      <c r="I60" s="12"/>
      <c r="J60" s="13" t="str">
        <f>IF(H60="","",(#REF!/H60)+(#REF!/#REF!))</f>
        <v/>
      </c>
      <c r="K60" s="13" t="str">
        <f>IF(H60="","",J60/12)</f>
        <v/>
      </c>
    </row>
    <row r="61" spans="2:46" ht="12" customHeight="1" x14ac:dyDescent="0.2">
      <c r="C61" s="26"/>
      <c r="D61" s="31" t="s">
        <v>11</v>
      </c>
      <c r="E61" s="11"/>
      <c r="F61" s="11"/>
      <c r="G61" s="11"/>
      <c r="H61" s="11"/>
      <c r="I61" s="23">
        <f t="shared" ref="I61:U61" si="55">SUM(I51:I60)</f>
        <v>628.27999999999986</v>
      </c>
      <c r="J61" s="23">
        <f t="shared" si="55"/>
        <v>764.02999999999986</v>
      </c>
      <c r="K61" s="23">
        <f t="shared" si="55"/>
        <v>803.75</v>
      </c>
      <c r="L61" s="23">
        <f t="shared" si="55"/>
        <v>601.12999999999988</v>
      </c>
      <c r="M61" s="23">
        <f t="shared" si="55"/>
        <v>881.15</v>
      </c>
      <c r="N61" s="23">
        <f t="shared" si="55"/>
        <v>619.39</v>
      </c>
      <c r="O61" s="23">
        <f t="shared" si="55"/>
        <v>706.74999999999989</v>
      </c>
      <c r="P61" s="23">
        <f t="shared" si="55"/>
        <v>598.29999999999995</v>
      </c>
      <c r="Q61" s="23">
        <f t="shared" si="55"/>
        <v>606.79</v>
      </c>
      <c r="R61" s="23">
        <f t="shared" si="55"/>
        <v>594.37</v>
      </c>
      <c r="S61" s="23">
        <f t="shared" si="55"/>
        <v>1561.0600000000002</v>
      </c>
      <c r="T61" s="23">
        <f t="shared" si="55"/>
        <v>1459.65</v>
      </c>
      <c r="U61" s="23">
        <f t="shared" si="55"/>
        <v>9824.6499999999978</v>
      </c>
      <c r="W61" s="180">
        <f>SUM(W51)</f>
        <v>1</v>
      </c>
      <c r="X61" s="180">
        <f t="shared" ref="X61:AJ61" si="56">SUM(X51)</f>
        <v>1</v>
      </c>
      <c r="Y61" s="180">
        <f t="shared" si="56"/>
        <v>1</v>
      </c>
      <c r="Z61" s="180">
        <f t="shared" si="56"/>
        <v>1</v>
      </c>
      <c r="AA61" s="180">
        <f t="shared" si="56"/>
        <v>1</v>
      </c>
      <c r="AB61" s="180">
        <f t="shared" si="56"/>
        <v>0.99534227240649265</v>
      </c>
      <c r="AC61" s="180">
        <f t="shared" si="56"/>
        <v>0.99534227240649265</v>
      </c>
      <c r="AD61" s="180">
        <f t="shared" si="56"/>
        <v>0.99534227240649265</v>
      </c>
      <c r="AE61" s="180">
        <f t="shared" si="56"/>
        <v>0.99534227240649265</v>
      </c>
      <c r="AF61" s="180">
        <f t="shared" si="56"/>
        <v>1</v>
      </c>
      <c r="AG61" s="180">
        <f t="shared" si="56"/>
        <v>1</v>
      </c>
      <c r="AH61" s="180">
        <f t="shared" si="56"/>
        <v>1</v>
      </c>
      <c r="AI61" s="180">
        <f t="shared" si="56"/>
        <v>0.99844742413549759</v>
      </c>
      <c r="AJ61" s="180">
        <f t="shared" si="56"/>
        <v>11.981369089625971</v>
      </c>
      <c r="AN61" s="181">
        <f>SUM(AN51)</f>
        <v>0</v>
      </c>
      <c r="AP61" s="181">
        <f>SUM(AP51)</f>
        <v>0.99844742413549759</v>
      </c>
      <c r="AR61" s="181">
        <f>SUM(AR51)</f>
        <v>0</v>
      </c>
      <c r="AT61" s="181">
        <f>SUM(AT51)</f>
        <v>0</v>
      </c>
    </row>
    <row r="62" spans="2:46" ht="12" customHeight="1" x14ac:dyDescent="0.25">
      <c r="C62" s="26"/>
      <c r="D62" s="26"/>
      <c r="E62" s="11"/>
      <c r="F62" s="11"/>
      <c r="G62" s="11"/>
      <c r="H62" s="11"/>
      <c r="I62" s="12"/>
      <c r="J62" s="13" t="str">
        <f>IF(H62="","",(#REF!/H62)+(#REF!/#REF!))</f>
        <v/>
      </c>
      <c r="K62" s="13" t="str">
        <f>IF(H62="","",J62/12)</f>
        <v/>
      </c>
      <c r="AJ62" s="242">
        <f>+AJ51+AJ59</f>
        <v>20.465309132452525</v>
      </c>
    </row>
    <row r="63" spans="2:46" ht="12" customHeight="1" x14ac:dyDescent="0.25">
      <c r="C63" s="26"/>
      <c r="D63" s="31"/>
      <c r="E63" s="11"/>
      <c r="F63" s="11"/>
      <c r="G63" s="11"/>
      <c r="H63" s="11"/>
      <c r="I63" s="41"/>
      <c r="J63" s="41"/>
      <c r="K63" s="41"/>
      <c r="L63" s="41"/>
      <c r="M63" s="41"/>
      <c r="N63" s="41"/>
      <c r="O63" s="41"/>
      <c r="P63" s="41"/>
      <c r="Q63" s="41"/>
      <c r="R63" s="41"/>
      <c r="S63" s="41"/>
      <c r="T63" s="41"/>
    </row>
    <row r="64" spans="2:46" s="45" customFormat="1" ht="12.75" x14ac:dyDescent="0.2">
      <c r="C64" s="42" t="s">
        <v>12</v>
      </c>
      <c r="D64" s="42" t="s">
        <v>12</v>
      </c>
      <c r="E64" s="11"/>
      <c r="F64" s="11"/>
      <c r="G64" s="11"/>
      <c r="H64" s="43"/>
      <c r="I64" s="44"/>
      <c r="J64" s="44"/>
      <c r="U64" s="16"/>
      <c r="AJ64" s="1"/>
      <c r="AK64" s="1"/>
      <c r="AM64" s="212">
        <v>0</v>
      </c>
      <c r="AN64" s="25">
        <f>+$AI64*AM64</f>
        <v>0</v>
      </c>
      <c r="AO64" s="212">
        <v>0</v>
      </c>
      <c r="AP64" s="25">
        <f>+$AI64*AO64</f>
        <v>0</v>
      </c>
      <c r="AQ64" s="212">
        <v>0</v>
      </c>
      <c r="AR64" s="25">
        <f t="shared" ref="AR64:AR94" si="57">+$AI64*AQ64</f>
        <v>0</v>
      </c>
      <c r="AS64" s="212">
        <v>0</v>
      </c>
      <c r="AT64" s="25">
        <f t="shared" ref="AT64:AT94" si="58">+$AI64*AS64</f>
        <v>0</v>
      </c>
    </row>
    <row r="65" spans="1:46" s="253" customFormat="1" x14ac:dyDescent="0.25">
      <c r="A65" s="253" t="str">
        <f>"all"&amp;"recycling"&amp;C65</f>
        <v>allrecyclingCRY1.5Y1X</v>
      </c>
      <c r="B65" s="241" t="str">
        <f>"camas"&amp;"recycling"&amp;C65</f>
        <v>camasrecyclingCRY1.5Y1X</v>
      </c>
      <c r="C65" s="232" t="s">
        <v>456</v>
      </c>
      <c r="D65" s="232" t="s">
        <v>538</v>
      </c>
      <c r="E65" s="238">
        <v>149.63999999999999</v>
      </c>
      <c r="F65" s="238">
        <v>149.63999999999999</v>
      </c>
      <c r="G65" s="238">
        <v>149.63999999999999</v>
      </c>
      <c r="H65" s="261"/>
      <c r="I65" s="243">
        <v>299.27999999999997</v>
      </c>
      <c r="J65" s="243">
        <v>299.27999999999997</v>
      </c>
      <c r="K65" s="243">
        <v>299.27999999999997</v>
      </c>
      <c r="L65" s="243">
        <v>314.24</v>
      </c>
      <c r="M65" s="243">
        <v>314.24</v>
      </c>
      <c r="N65" s="243">
        <v>157.12</v>
      </c>
      <c r="O65" s="243">
        <v>157.12</v>
      </c>
      <c r="P65" s="243">
        <v>157.12</v>
      </c>
      <c r="Q65" s="243">
        <v>157.12</v>
      </c>
      <c r="R65" s="243">
        <v>157.12</v>
      </c>
      <c r="S65" s="243">
        <v>157.12</v>
      </c>
      <c r="T65" s="243">
        <v>157.12</v>
      </c>
      <c r="U65" s="233">
        <f t="shared" ref="U65:U112" si="59">SUM(I65:T65)</f>
        <v>2626.1599999999994</v>
      </c>
      <c r="W65" s="240">
        <f t="shared" ref="W65:W109" si="60">IFERROR(I65/$E65,0)</f>
        <v>2</v>
      </c>
      <c r="X65" s="240">
        <f t="shared" ref="X65:X109" si="61">IFERROR(J65/$E65,0)</f>
        <v>2</v>
      </c>
      <c r="Y65" s="240">
        <f t="shared" ref="Y65:Y109" si="62">IFERROR(K65/$E65,0)</f>
        <v>2</v>
      </c>
      <c r="Z65" s="240">
        <f t="shared" ref="Z65:Z109" si="63">IFERROR(L65/$F65,0)</f>
        <v>2.099973269179364</v>
      </c>
      <c r="AA65" s="240">
        <f t="shared" ref="AA65:AA109" si="64">IFERROR(M65/$F65,0)</f>
        <v>2.099973269179364</v>
      </c>
      <c r="AB65" s="240">
        <f t="shared" ref="AB65:AB109" si="65">IFERROR(N65/$F65,0)</f>
        <v>1.049986634589682</v>
      </c>
      <c r="AC65" s="240">
        <f t="shared" ref="AC65:AC109" si="66">IFERROR(O65/$F65,0)</f>
        <v>1.049986634589682</v>
      </c>
      <c r="AD65" s="240">
        <f t="shared" ref="AD65:AD109" si="67">IFERROR(P65/$F65,0)</f>
        <v>1.049986634589682</v>
      </c>
      <c r="AE65" s="240">
        <f t="shared" ref="AE65:AE109" si="68">IFERROR(Q65/$F65,0)</f>
        <v>1.049986634589682</v>
      </c>
      <c r="AF65" s="240">
        <f t="shared" ref="AF65:AF109" si="69">IFERROR(R65/$G65,0)</f>
        <v>1.049986634589682</v>
      </c>
      <c r="AG65" s="240">
        <f t="shared" ref="AG65:AG109" si="70">IFERROR(S65/$G65,0)</f>
        <v>1.049986634589682</v>
      </c>
      <c r="AH65" s="240">
        <f t="shared" ref="AH65:AH109" si="71">IFERROR(T65/$G65,0)</f>
        <v>1.049986634589682</v>
      </c>
      <c r="AI65" s="256">
        <f t="shared" ref="AI65:AI108" si="72">+IFERROR(AVERAGE(W65:AH65),0)</f>
        <v>1.4624877483738754</v>
      </c>
      <c r="AJ65" s="242">
        <f t="shared" ref="AJ65:AJ108" si="73">+SUM(W65:AH65)</f>
        <v>17.549852980486506</v>
      </c>
      <c r="AK65" s="241"/>
      <c r="AM65" s="241">
        <v>0</v>
      </c>
      <c r="AN65" s="240">
        <f>+$AI65*AM65</f>
        <v>0</v>
      </c>
      <c r="AO65" s="241">
        <v>1</v>
      </c>
      <c r="AP65" s="240">
        <f>+$AI65*AO65</f>
        <v>1.4624877483738754</v>
      </c>
      <c r="AQ65" s="241">
        <v>0</v>
      </c>
      <c r="AR65" s="240">
        <f t="shared" si="57"/>
        <v>0</v>
      </c>
      <c r="AS65" s="241">
        <v>0</v>
      </c>
      <c r="AT65" s="240">
        <f t="shared" si="58"/>
        <v>0</v>
      </c>
    </row>
    <row r="66" spans="1:46" s="253" customFormat="1" x14ac:dyDescent="0.25">
      <c r="A66" s="253" t="str">
        <f>"all"&amp;"recycling"&amp;C66</f>
        <v>allrecyclingCRY1.5Y2X</v>
      </c>
      <c r="B66" s="241" t="str">
        <f>"camas"&amp;"recycling"&amp;C66</f>
        <v>camasrecyclingCRY1.5Y2X</v>
      </c>
      <c r="C66" s="232" t="s">
        <v>878</v>
      </c>
      <c r="D66" s="232" t="s">
        <v>889</v>
      </c>
      <c r="E66" s="238">
        <v>271.60000000000002</v>
      </c>
      <c r="F66" s="238">
        <v>271.60000000000002</v>
      </c>
      <c r="G66" s="238">
        <v>271.60000000000002</v>
      </c>
      <c r="H66" s="261"/>
      <c r="I66" s="243">
        <v>271.60000000000002</v>
      </c>
      <c r="J66" s="243">
        <v>271.60000000000002</v>
      </c>
      <c r="K66" s="243">
        <v>271.60000000000002</v>
      </c>
      <c r="L66" s="243">
        <v>285.18</v>
      </c>
      <c r="M66" s="243">
        <v>285.18</v>
      </c>
      <c r="N66" s="243">
        <v>285.18</v>
      </c>
      <c r="O66" s="243">
        <v>285.18</v>
      </c>
      <c r="P66" s="243">
        <v>285.18</v>
      </c>
      <c r="Q66" s="243">
        <v>285.18</v>
      </c>
      <c r="R66" s="243">
        <v>285.18</v>
      </c>
      <c r="S66" s="243">
        <v>285.18</v>
      </c>
      <c r="T66" s="243">
        <v>285.18</v>
      </c>
      <c r="U66" s="233">
        <f>SUM(I66:T66)</f>
        <v>3381.4199999999996</v>
      </c>
      <c r="W66" s="240">
        <f t="shared" si="60"/>
        <v>1</v>
      </c>
      <c r="X66" s="240">
        <f t="shared" si="61"/>
        <v>1</v>
      </c>
      <c r="Y66" s="240">
        <f t="shared" si="62"/>
        <v>1</v>
      </c>
      <c r="Z66" s="240">
        <f t="shared" si="63"/>
        <v>1.05</v>
      </c>
      <c r="AA66" s="240">
        <f t="shared" si="64"/>
        <v>1.05</v>
      </c>
      <c r="AB66" s="240">
        <f t="shared" si="65"/>
        <v>1.05</v>
      </c>
      <c r="AC66" s="240">
        <f t="shared" si="66"/>
        <v>1.05</v>
      </c>
      <c r="AD66" s="240">
        <f t="shared" si="67"/>
        <v>1.05</v>
      </c>
      <c r="AE66" s="240">
        <f t="shared" si="68"/>
        <v>1.05</v>
      </c>
      <c r="AF66" s="240">
        <f t="shared" si="69"/>
        <v>1.05</v>
      </c>
      <c r="AG66" s="240">
        <f t="shared" si="70"/>
        <v>1.05</v>
      </c>
      <c r="AH66" s="240">
        <f t="shared" si="71"/>
        <v>1.05</v>
      </c>
      <c r="AI66" s="256">
        <f t="shared" si="72"/>
        <v>1.0375000000000003</v>
      </c>
      <c r="AJ66" s="242">
        <f t="shared" si="73"/>
        <v>12.450000000000003</v>
      </c>
      <c r="AK66" s="241"/>
      <c r="AM66" s="241">
        <v>0</v>
      </c>
      <c r="AN66" s="240">
        <f t="shared" ref="AN66:AP67" si="74">+$AI66*AM66</f>
        <v>0</v>
      </c>
      <c r="AO66" s="241">
        <v>1</v>
      </c>
      <c r="AP66" s="240">
        <f t="shared" si="74"/>
        <v>1.0375000000000003</v>
      </c>
      <c r="AQ66" s="241">
        <v>0</v>
      </c>
      <c r="AR66" s="240">
        <f t="shared" si="57"/>
        <v>0</v>
      </c>
      <c r="AS66" s="241">
        <v>0</v>
      </c>
      <c r="AT66" s="240">
        <f t="shared" si="58"/>
        <v>0</v>
      </c>
    </row>
    <row r="67" spans="1:46" s="253" customFormat="1" x14ac:dyDescent="0.25">
      <c r="A67" s="253" t="str">
        <f>"all"&amp;"recycling"&amp;C67</f>
        <v>allrecyclingCRYEX1.5YD</v>
      </c>
      <c r="B67" s="241" t="str">
        <f>"camas"&amp;"recycling"&amp;C67</f>
        <v>camasrecyclingCRYEX1.5YD</v>
      </c>
      <c r="C67" s="232" t="s">
        <v>526</v>
      </c>
      <c r="D67" s="232" t="s">
        <v>606</v>
      </c>
      <c r="E67" s="238">
        <v>33.18</v>
      </c>
      <c r="F67" s="238">
        <v>91.69</v>
      </c>
      <c r="G67" s="238">
        <v>91.69</v>
      </c>
      <c r="H67" s="261"/>
      <c r="I67" s="243">
        <v>0</v>
      </c>
      <c r="J67" s="243">
        <v>0</v>
      </c>
      <c r="K67" s="243">
        <v>0</v>
      </c>
      <c r="L67" s="243">
        <v>0</v>
      </c>
      <c r="M67" s="243">
        <v>0</v>
      </c>
      <c r="N67" s="243">
        <v>0</v>
      </c>
      <c r="O67" s="243">
        <v>0</v>
      </c>
      <c r="P67" s="243">
        <v>0</v>
      </c>
      <c r="Q67" s="243">
        <v>0</v>
      </c>
      <c r="R67" s="243">
        <v>0</v>
      </c>
      <c r="S67" s="243">
        <v>34.840000000000003</v>
      </c>
      <c r="T67" s="243">
        <v>0</v>
      </c>
      <c r="U67" s="233">
        <f>SUM(I67:T67)</f>
        <v>34.840000000000003</v>
      </c>
      <c r="W67" s="240">
        <f t="shared" si="60"/>
        <v>0</v>
      </c>
      <c r="X67" s="240">
        <f t="shared" si="61"/>
        <v>0</v>
      </c>
      <c r="Y67" s="240">
        <f t="shared" si="62"/>
        <v>0</v>
      </c>
      <c r="Z67" s="240">
        <f t="shared" si="63"/>
        <v>0</v>
      </c>
      <c r="AA67" s="240">
        <f t="shared" si="64"/>
        <v>0</v>
      </c>
      <c r="AB67" s="240">
        <f t="shared" si="65"/>
        <v>0</v>
      </c>
      <c r="AC67" s="240">
        <f t="shared" si="66"/>
        <v>0</v>
      </c>
      <c r="AD67" s="240">
        <f t="shared" si="67"/>
        <v>0</v>
      </c>
      <c r="AE67" s="240">
        <f t="shared" si="68"/>
        <v>0</v>
      </c>
      <c r="AF67" s="240">
        <f t="shared" si="69"/>
        <v>0</v>
      </c>
      <c r="AG67" s="240">
        <f t="shared" si="70"/>
        <v>0.37997600610753629</v>
      </c>
      <c r="AH67" s="240">
        <f t="shared" si="71"/>
        <v>0</v>
      </c>
      <c r="AI67" s="256">
        <f>+IFERROR(AVERAGE(W67:AH67),0)</f>
        <v>3.1664667175628027E-2</v>
      </c>
      <c r="AJ67" s="242">
        <f>+SUM(W67:AH67)</f>
        <v>0.37997600610753629</v>
      </c>
      <c r="AK67" s="241"/>
      <c r="AM67" s="241">
        <v>0</v>
      </c>
      <c r="AN67" s="240">
        <f t="shared" si="74"/>
        <v>0</v>
      </c>
      <c r="AO67" s="241">
        <v>1</v>
      </c>
      <c r="AP67" s="240">
        <f t="shared" si="74"/>
        <v>3.1664667175628027E-2</v>
      </c>
      <c r="AQ67" s="241">
        <v>0</v>
      </c>
      <c r="AR67" s="240">
        <f t="shared" si="57"/>
        <v>0</v>
      </c>
      <c r="AS67" s="241">
        <v>0</v>
      </c>
      <c r="AT67" s="240">
        <f t="shared" si="58"/>
        <v>0</v>
      </c>
    </row>
    <row r="68" spans="1:46" s="253" customFormat="1" x14ac:dyDescent="0.25">
      <c r="A68" s="253" t="str">
        <f t="shared" ref="A68:A109" si="75">"all"&amp;"recycling"&amp;C68</f>
        <v>allrecyclingCRY1.5EOW</v>
      </c>
      <c r="B68" s="241" t="str">
        <f t="shared" ref="B68:B112" si="76">"camas"&amp;"recycling"&amp;C68</f>
        <v>camasrecyclingCRY1.5EOW</v>
      </c>
      <c r="C68" s="232" t="s">
        <v>1184</v>
      </c>
      <c r="D68" s="232" t="s">
        <v>539</v>
      </c>
      <c r="E68" s="238">
        <v>91.69</v>
      </c>
      <c r="F68" s="238">
        <v>91.69</v>
      </c>
      <c r="G68" s="238">
        <v>91.69</v>
      </c>
      <c r="H68" s="261"/>
      <c r="I68" s="243">
        <v>91.69</v>
      </c>
      <c r="J68" s="243">
        <v>91.69</v>
      </c>
      <c r="K68" s="243">
        <v>91.69</v>
      </c>
      <c r="L68" s="243">
        <v>96.27</v>
      </c>
      <c r="M68" s="243">
        <v>96.27</v>
      </c>
      <c r="N68" s="243">
        <v>96.27</v>
      </c>
      <c r="O68" s="243">
        <v>96.27</v>
      </c>
      <c r="P68" s="243">
        <v>96.27</v>
      </c>
      <c r="Q68" s="243">
        <v>96.27</v>
      </c>
      <c r="R68" s="243">
        <v>96.27</v>
      </c>
      <c r="S68" s="243">
        <v>96.27</v>
      </c>
      <c r="T68" s="243">
        <v>96.27</v>
      </c>
      <c r="U68" s="233">
        <f t="shared" si="59"/>
        <v>1141.5</v>
      </c>
      <c r="W68" s="240">
        <f t="shared" si="60"/>
        <v>1</v>
      </c>
      <c r="X68" s="240">
        <f t="shared" si="61"/>
        <v>1</v>
      </c>
      <c r="Y68" s="240">
        <f t="shared" si="62"/>
        <v>1</v>
      </c>
      <c r="Z68" s="240">
        <f t="shared" si="63"/>
        <v>1.0499509215835969</v>
      </c>
      <c r="AA68" s="240">
        <f t="shared" si="64"/>
        <v>1.0499509215835969</v>
      </c>
      <c r="AB68" s="240">
        <f t="shared" si="65"/>
        <v>1.0499509215835969</v>
      </c>
      <c r="AC68" s="240">
        <f t="shared" si="66"/>
        <v>1.0499509215835969</v>
      </c>
      <c r="AD68" s="240">
        <f t="shared" si="67"/>
        <v>1.0499509215835969</v>
      </c>
      <c r="AE68" s="240">
        <f t="shared" si="68"/>
        <v>1.0499509215835969</v>
      </c>
      <c r="AF68" s="240">
        <f t="shared" si="69"/>
        <v>1.0499509215835969</v>
      </c>
      <c r="AG68" s="240">
        <f t="shared" si="70"/>
        <v>1.0499509215835969</v>
      </c>
      <c r="AH68" s="240">
        <f t="shared" si="71"/>
        <v>1.0499509215835969</v>
      </c>
      <c r="AI68" s="256">
        <f t="shared" si="72"/>
        <v>1.0374631911876981</v>
      </c>
      <c r="AJ68" s="242">
        <f t="shared" si="73"/>
        <v>12.449558294252377</v>
      </c>
      <c r="AK68" s="241"/>
      <c r="AM68" s="241">
        <v>0</v>
      </c>
      <c r="AN68" s="240">
        <f t="shared" ref="AN68:AN86" si="77">+$AI68*AM68</f>
        <v>0</v>
      </c>
      <c r="AO68" s="241">
        <v>1</v>
      </c>
      <c r="AP68" s="240">
        <f t="shared" ref="AP68:AP86" si="78">+$AI68*AO68</f>
        <v>1.0374631911876981</v>
      </c>
      <c r="AQ68" s="241">
        <v>0</v>
      </c>
      <c r="AR68" s="240">
        <f t="shared" si="57"/>
        <v>0</v>
      </c>
      <c r="AS68" s="241">
        <v>0</v>
      </c>
      <c r="AT68" s="240">
        <f t="shared" si="58"/>
        <v>0</v>
      </c>
    </row>
    <row r="69" spans="1:46" s="253" customFormat="1" x14ac:dyDescent="0.25">
      <c r="A69" s="253" t="str">
        <f t="shared" si="75"/>
        <v>allrecyclingCRY1Y1X</v>
      </c>
      <c r="B69" s="241" t="str">
        <f t="shared" si="76"/>
        <v>camasrecyclingCRY1Y1X</v>
      </c>
      <c r="C69" s="232" t="s">
        <v>457</v>
      </c>
      <c r="D69" s="232" t="s">
        <v>540</v>
      </c>
      <c r="E69" s="238">
        <v>122.18</v>
      </c>
      <c r="F69" s="238">
        <v>122.18</v>
      </c>
      <c r="G69" s="238">
        <v>122.18</v>
      </c>
      <c r="H69" s="261"/>
      <c r="I69" s="243">
        <v>326.33999999999997</v>
      </c>
      <c r="J69" s="243">
        <v>448.52</v>
      </c>
      <c r="K69" s="243">
        <v>448.52</v>
      </c>
      <c r="L69" s="243">
        <v>470.95</v>
      </c>
      <c r="M69" s="243">
        <v>470.95</v>
      </c>
      <c r="N69" s="243">
        <v>470.95</v>
      </c>
      <c r="O69" s="243">
        <v>470.95</v>
      </c>
      <c r="P69" s="243">
        <v>470.95</v>
      </c>
      <c r="Q69" s="243">
        <v>470.95</v>
      </c>
      <c r="R69" s="243">
        <v>470.95</v>
      </c>
      <c r="S69" s="243">
        <v>470.95</v>
      </c>
      <c r="T69" s="243">
        <v>470.95</v>
      </c>
      <c r="U69" s="233">
        <f t="shared" si="59"/>
        <v>5461.9299999999985</v>
      </c>
      <c r="W69" s="240">
        <f t="shared" si="60"/>
        <v>2.6709772466852182</v>
      </c>
      <c r="X69" s="240">
        <f t="shared" si="61"/>
        <v>3.6709772466852182</v>
      </c>
      <c r="Y69" s="240">
        <f t="shared" si="62"/>
        <v>3.6709772466852182</v>
      </c>
      <c r="Z69" s="240">
        <f t="shared" si="63"/>
        <v>3.8545588476018984</v>
      </c>
      <c r="AA69" s="240">
        <f t="shared" si="64"/>
        <v>3.8545588476018984</v>
      </c>
      <c r="AB69" s="240">
        <f t="shared" si="65"/>
        <v>3.8545588476018984</v>
      </c>
      <c r="AC69" s="240">
        <f t="shared" si="66"/>
        <v>3.8545588476018984</v>
      </c>
      <c r="AD69" s="240">
        <f t="shared" si="67"/>
        <v>3.8545588476018984</v>
      </c>
      <c r="AE69" s="240">
        <f t="shared" si="68"/>
        <v>3.8545588476018984</v>
      </c>
      <c r="AF69" s="240">
        <f t="shared" si="69"/>
        <v>3.8545588476018984</v>
      </c>
      <c r="AG69" s="240">
        <f t="shared" si="70"/>
        <v>3.8545588476018984</v>
      </c>
      <c r="AH69" s="240">
        <f t="shared" si="71"/>
        <v>3.8545588476018984</v>
      </c>
      <c r="AI69" s="256">
        <f t="shared" si="72"/>
        <v>3.7253301140393948</v>
      </c>
      <c r="AJ69" s="242">
        <f t="shared" si="73"/>
        <v>44.70396136847274</v>
      </c>
      <c r="AK69" s="241"/>
      <c r="AM69" s="241">
        <v>0</v>
      </c>
      <c r="AN69" s="240">
        <f t="shared" si="77"/>
        <v>0</v>
      </c>
      <c r="AO69" s="241">
        <v>1</v>
      </c>
      <c r="AP69" s="240">
        <f t="shared" si="78"/>
        <v>3.7253301140393948</v>
      </c>
      <c r="AQ69" s="241">
        <v>0</v>
      </c>
      <c r="AR69" s="240">
        <f t="shared" si="57"/>
        <v>0</v>
      </c>
      <c r="AS69" s="241">
        <v>0</v>
      </c>
      <c r="AT69" s="240">
        <f t="shared" si="58"/>
        <v>0</v>
      </c>
    </row>
    <row r="70" spans="1:46" s="253" customFormat="1" x14ac:dyDescent="0.25">
      <c r="A70" s="253" t="str">
        <f t="shared" si="75"/>
        <v>allrecyclingCRY1YEOW</v>
      </c>
      <c r="B70" s="241" t="str">
        <f t="shared" si="76"/>
        <v>camasrecyclingCRY1YEOW</v>
      </c>
      <c r="C70" s="232" t="s">
        <v>458</v>
      </c>
      <c r="D70" s="232" t="s">
        <v>541</v>
      </c>
      <c r="E70" s="238">
        <v>88.85</v>
      </c>
      <c r="F70" s="238">
        <v>88.85</v>
      </c>
      <c r="G70" s="238">
        <v>88.85</v>
      </c>
      <c r="H70" s="261"/>
      <c r="I70" s="243">
        <v>177.7</v>
      </c>
      <c r="J70" s="243">
        <v>88.85</v>
      </c>
      <c r="K70" s="243">
        <v>88.85</v>
      </c>
      <c r="L70" s="243">
        <v>93.29</v>
      </c>
      <c r="M70" s="243">
        <v>93.29</v>
      </c>
      <c r="N70" s="243">
        <v>93.29</v>
      </c>
      <c r="O70" s="243">
        <v>93.29</v>
      </c>
      <c r="P70" s="243">
        <v>93.29</v>
      </c>
      <c r="Q70" s="243">
        <v>93.29</v>
      </c>
      <c r="R70" s="243">
        <v>93.29</v>
      </c>
      <c r="S70" s="243">
        <v>93.29</v>
      </c>
      <c r="T70" s="243">
        <v>93.29</v>
      </c>
      <c r="U70" s="233">
        <f t="shared" si="59"/>
        <v>1195.0099999999998</v>
      </c>
      <c r="W70" s="240">
        <f t="shared" si="60"/>
        <v>2</v>
      </c>
      <c r="X70" s="240">
        <f t="shared" si="61"/>
        <v>1</v>
      </c>
      <c r="Y70" s="240">
        <f t="shared" si="62"/>
        <v>1</v>
      </c>
      <c r="Z70" s="240">
        <f t="shared" si="63"/>
        <v>1.049971862689927</v>
      </c>
      <c r="AA70" s="240">
        <f t="shared" si="64"/>
        <v>1.049971862689927</v>
      </c>
      <c r="AB70" s="240">
        <f t="shared" si="65"/>
        <v>1.049971862689927</v>
      </c>
      <c r="AC70" s="240">
        <f t="shared" si="66"/>
        <v>1.049971862689927</v>
      </c>
      <c r="AD70" s="240">
        <f t="shared" si="67"/>
        <v>1.049971862689927</v>
      </c>
      <c r="AE70" s="240">
        <f t="shared" si="68"/>
        <v>1.049971862689927</v>
      </c>
      <c r="AF70" s="240">
        <f t="shared" si="69"/>
        <v>1.049971862689927</v>
      </c>
      <c r="AG70" s="240">
        <f t="shared" si="70"/>
        <v>1.049971862689927</v>
      </c>
      <c r="AH70" s="240">
        <f t="shared" si="71"/>
        <v>1.049971862689927</v>
      </c>
      <c r="AI70" s="256">
        <f t="shared" si="72"/>
        <v>1.1208122303507788</v>
      </c>
      <c r="AJ70" s="242">
        <f t="shared" si="73"/>
        <v>13.449746764209346</v>
      </c>
      <c r="AK70" s="241"/>
      <c r="AM70" s="241">
        <v>0</v>
      </c>
      <c r="AN70" s="240">
        <f t="shared" si="77"/>
        <v>0</v>
      </c>
      <c r="AO70" s="241">
        <v>1</v>
      </c>
      <c r="AP70" s="240">
        <f t="shared" si="78"/>
        <v>1.1208122303507788</v>
      </c>
      <c r="AQ70" s="241">
        <v>0</v>
      </c>
      <c r="AR70" s="240">
        <f t="shared" si="57"/>
        <v>0</v>
      </c>
      <c r="AS70" s="241">
        <v>0</v>
      </c>
      <c r="AT70" s="240">
        <f t="shared" si="58"/>
        <v>0</v>
      </c>
    </row>
    <row r="71" spans="1:46" s="253" customFormat="1" x14ac:dyDescent="0.25">
      <c r="A71" s="253" t="str">
        <f t="shared" si="75"/>
        <v>allrecyclingCRY2Y1X</v>
      </c>
      <c r="B71" s="241" t="str">
        <f t="shared" si="76"/>
        <v>camasrecyclingCRY2Y1X</v>
      </c>
      <c r="C71" s="232" t="s">
        <v>461</v>
      </c>
      <c r="D71" s="232" t="s">
        <v>544</v>
      </c>
      <c r="E71" s="238">
        <v>157.93</v>
      </c>
      <c r="F71" s="238">
        <v>157.93</v>
      </c>
      <c r="G71" s="238">
        <v>157.93</v>
      </c>
      <c r="H71" s="261"/>
      <c r="I71" s="243">
        <v>1492.81</v>
      </c>
      <c r="J71" s="243">
        <v>1492.81</v>
      </c>
      <c r="K71" s="243">
        <v>1492.81</v>
      </c>
      <c r="L71" s="243">
        <v>1567.48</v>
      </c>
      <c r="M71" s="243">
        <v>1567.48</v>
      </c>
      <c r="N71" s="243">
        <v>1567.48</v>
      </c>
      <c r="O71" s="243">
        <v>1567.48</v>
      </c>
      <c r="P71" s="243">
        <v>1567.48</v>
      </c>
      <c r="Q71" s="243">
        <v>1567.48</v>
      </c>
      <c r="R71" s="243">
        <v>1567.48</v>
      </c>
      <c r="S71" s="243">
        <v>1567.48</v>
      </c>
      <c r="T71" s="243">
        <v>1567.48</v>
      </c>
      <c r="U71" s="233">
        <f t="shared" si="59"/>
        <v>18585.749999999996</v>
      </c>
      <c r="W71" s="240">
        <f t="shared" si="60"/>
        <v>9.4523523079845493</v>
      </c>
      <c r="X71" s="240">
        <f t="shared" si="61"/>
        <v>9.4523523079845493</v>
      </c>
      <c r="Y71" s="240">
        <f t="shared" si="62"/>
        <v>9.4523523079845493</v>
      </c>
      <c r="Z71" s="240">
        <f t="shared" si="63"/>
        <v>9.9251567150003162</v>
      </c>
      <c r="AA71" s="240">
        <f t="shared" si="64"/>
        <v>9.9251567150003162</v>
      </c>
      <c r="AB71" s="240">
        <f t="shared" si="65"/>
        <v>9.9251567150003162</v>
      </c>
      <c r="AC71" s="240">
        <f t="shared" si="66"/>
        <v>9.9251567150003162</v>
      </c>
      <c r="AD71" s="240">
        <f t="shared" si="67"/>
        <v>9.9251567150003162</v>
      </c>
      <c r="AE71" s="240">
        <f t="shared" si="68"/>
        <v>9.9251567150003162</v>
      </c>
      <c r="AF71" s="240">
        <f t="shared" si="69"/>
        <v>9.9251567150003162</v>
      </c>
      <c r="AG71" s="240">
        <f t="shared" si="70"/>
        <v>9.9251567150003162</v>
      </c>
      <c r="AH71" s="240">
        <f t="shared" si="71"/>
        <v>9.9251567150003162</v>
      </c>
      <c r="AI71" s="256">
        <f t="shared" si="72"/>
        <v>9.8069556132463713</v>
      </c>
      <c r="AJ71" s="242">
        <f t="shared" si="73"/>
        <v>117.68346735895646</v>
      </c>
      <c r="AK71" s="241"/>
      <c r="AM71" s="241">
        <v>0</v>
      </c>
      <c r="AN71" s="240">
        <f t="shared" si="77"/>
        <v>0</v>
      </c>
      <c r="AO71" s="241">
        <v>1</v>
      </c>
      <c r="AP71" s="240">
        <f t="shared" si="78"/>
        <v>9.8069556132463713</v>
      </c>
      <c r="AQ71" s="241">
        <v>0</v>
      </c>
      <c r="AR71" s="240">
        <f t="shared" si="57"/>
        <v>0</v>
      </c>
      <c r="AS71" s="241">
        <v>0</v>
      </c>
      <c r="AT71" s="240">
        <f t="shared" si="58"/>
        <v>0</v>
      </c>
    </row>
    <row r="72" spans="1:46" s="253" customFormat="1" x14ac:dyDescent="0.25">
      <c r="A72" s="253" t="str">
        <f t="shared" si="75"/>
        <v>allrecyclingCRY2YEOW</v>
      </c>
      <c r="B72" s="241" t="str">
        <f t="shared" si="76"/>
        <v>camasrecyclingCRY2YEOW</v>
      </c>
      <c r="C72" s="232" t="s">
        <v>463</v>
      </c>
      <c r="D72" s="232" t="s">
        <v>546</v>
      </c>
      <c r="E72" s="238">
        <v>97.39</v>
      </c>
      <c r="F72" s="238">
        <v>97.39</v>
      </c>
      <c r="G72" s="238">
        <v>97.39</v>
      </c>
      <c r="H72" s="261"/>
      <c r="I72" s="243">
        <v>458.17</v>
      </c>
      <c r="J72" s="243">
        <v>458.17</v>
      </c>
      <c r="K72" s="243">
        <v>458.17</v>
      </c>
      <c r="L72" s="243">
        <v>477.02</v>
      </c>
      <c r="M72" s="243">
        <v>477.02</v>
      </c>
      <c r="N72" s="243">
        <v>477.02</v>
      </c>
      <c r="O72" s="243">
        <v>477.02</v>
      </c>
      <c r="P72" s="243">
        <v>477.02</v>
      </c>
      <c r="Q72" s="243">
        <v>477.02</v>
      </c>
      <c r="R72" s="243">
        <v>478.97</v>
      </c>
      <c r="S72" s="243">
        <v>376.71</v>
      </c>
      <c r="T72" s="243">
        <v>581.23</v>
      </c>
      <c r="U72" s="233">
        <f t="shared" si="59"/>
        <v>5673.5400000000009</v>
      </c>
      <c r="W72" s="240">
        <f t="shared" si="60"/>
        <v>4.7044871136667012</v>
      </c>
      <c r="X72" s="240">
        <f t="shared" si="61"/>
        <v>4.7044871136667012</v>
      </c>
      <c r="Y72" s="240">
        <f t="shared" si="62"/>
        <v>4.7044871136667012</v>
      </c>
      <c r="Z72" s="240">
        <f t="shared" si="63"/>
        <v>4.8980388130198174</v>
      </c>
      <c r="AA72" s="240">
        <f t="shared" si="64"/>
        <v>4.8980388130198174</v>
      </c>
      <c r="AB72" s="240">
        <f t="shared" si="65"/>
        <v>4.8980388130198174</v>
      </c>
      <c r="AC72" s="240">
        <f t="shared" si="66"/>
        <v>4.8980388130198174</v>
      </c>
      <c r="AD72" s="240">
        <f t="shared" si="67"/>
        <v>4.8980388130198174</v>
      </c>
      <c r="AE72" s="240">
        <f t="shared" si="68"/>
        <v>4.8980388130198174</v>
      </c>
      <c r="AF72" s="240">
        <f t="shared" si="69"/>
        <v>4.9180614026080711</v>
      </c>
      <c r="AG72" s="240">
        <f t="shared" si="70"/>
        <v>3.86805626861074</v>
      </c>
      <c r="AH72" s="240">
        <f t="shared" si="71"/>
        <v>5.9680665366054013</v>
      </c>
      <c r="AI72" s="256">
        <f t="shared" si="72"/>
        <v>4.8546565355786013</v>
      </c>
      <c r="AJ72" s="242">
        <f t="shared" si="73"/>
        <v>58.255878426943219</v>
      </c>
      <c r="AK72" s="241"/>
      <c r="AM72" s="241">
        <v>0</v>
      </c>
      <c r="AN72" s="240">
        <f t="shared" si="77"/>
        <v>0</v>
      </c>
      <c r="AO72" s="241">
        <v>1</v>
      </c>
      <c r="AP72" s="240">
        <f t="shared" si="78"/>
        <v>4.8546565355786013</v>
      </c>
      <c r="AQ72" s="241">
        <v>0</v>
      </c>
      <c r="AR72" s="240">
        <f t="shared" si="57"/>
        <v>0</v>
      </c>
      <c r="AS72" s="241">
        <v>0</v>
      </c>
      <c r="AT72" s="240">
        <f t="shared" si="58"/>
        <v>0</v>
      </c>
    </row>
    <row r="73" spans="1:46" s="253" customFormat="1" x14ac:dyDescent="0.25">
      <c r="A73" s="253" t="str">
        <f t="shared" si="75"/>
        <v>allrecyclingCRY3Y1X</v>
      </c>
      <c r="B73" s="241" t="str">
        <f t="shared" si="76"/>
        <v>camasrecyclingCRY3Y1X</v>
      </c>
      <c r="C73" s="232" t="s">
        <v>465</v>
      </c>
      <c r="D73" s="232" t="s">
        <v>548</v>
      </c>
      <c r="E73" s="238">
        <v>171.84</v>
      </c>
      <c r="F73" s="238">
        <v>171.84</v>
      </c>
      <c r="G73" s="238">
        <v>171.84</v>
      </c>
      <c r="H73" s="261"/>
      <c r="I73" s="243">
        <v>836.8</v>
      </c>
      <c r="J73" s="243">
        <v>836.8</v>
      </c>
      <c r="K73" s="243">
        <v>836.8</v>
      </c>
      <c r="L73" s="243">
        <v>878.63</v>
      </c>
      <c r="M73" s="243">
        <v>878.63</v>
      </c>
      <c r="N73" s="243">
        <v>878.63</v>
      </c>
      <c r="O73" s="243">
        <v>878.63</v>
      </c>
      <c r="P73" s="243">
        <v>878.63</v>
      </c>
      <c r="Q73" s="243">
        <v>878.63</v>
      </c>
      <c r="R73" s="243">
        <v>878.63</v>
      </c>
      <c r="S73" s="243">
        <v>878.63</v>
      </c>
      <c r="T73" s="243">
        <v>878.63</v>
      </c>
      <c r="U73" s="233">
        <f t="shared" si="59"/>
        <v>10418.069999999998</v>
      </c>
      <c r="W73" s="240">
        <f t="shared" si="60"/>
        <v>4.8696461824953445</v>
      </c>
      <c r="X73" s="240">
        <f t="shared" si="61"/>
        <v>4.8696461824953445</v>
      </c>
      <c r="Y73" s="240">
        <f t="shared" si="62"/>
        <v>4.8696461824953445</v>
      </c>
      <c r="Z73" s="240">
        <f t="shared" si="63"/>
        <v>5.113070297951583</v>
      </c>
      <c r="AA73" s="240">
        <f t="shared" si="64"/>
        <v>5.113070297951583</v>
      </c>
      <c r="AB73" s="240">
        <f t="shared" si="65"/>
        <v>5.113070297951583</v>
      </c>
      <c r="AC73" s="240">
        <f t="shared" si="66"/>
        <v>5.113070297951583</v>
      </c>
      <c r="AD73" s="240">
        <f t="shared" si="67"/>
        <v>5.113070297951583</v>
      </c>
      <c r="AE73" s="240">
        <f t="shared" si="68"/>
        <v>5.113070297951583</v>
      </c>
      <c r="AF73" s="240">
        <f t="shared" si="69"/>
        <v>5.113070297951583</v>
      </c>
      <c r="AG73" s="240">
        <f t="shared" si="70"/>
        <v>5.113070297951583</v>
      </c>
      <c r="AH73" s="240">
        <f t="shared" si="71"/>
        <v>5.113070297951583</v>
      </c>
      <c r="AI73" s="256">
        <f t="shared" si="72"/>
        <v>5.0522142690875222</v>
      </c>
      <c r="AJ73" s="242">
        <f t="shared" si="73"/>
        <v>60.626571229050271</v>
      </c>
      <c r="AK73" s="241"/>
      <c r="AM73" s="241">
        <v>0</v>
      </c>
      <c r="AN73" s="240">
        <f t="shared" si="77"/>
        <v>0</v>
      </c>
      <c r="AO73" s="241">
        <v>1</v>
      </c>
      <c r="AP73" s="240">
        <f t="shared" si="78"/>
        <v>5.0522142690875222</v>
      </c>
      <c r="AQ73" s="241">
        <v>0</v>
      </c>
      <c r="AR73" s="240">
        <f t="shared" si="57"/>
        <v>0</v>
      </c>
      <c r="AS73" s="241">
        <v>0</v>
      </c>
      <c r="AT73" s="240">
        <f t="shared" si="58"/>
        <v>0</v>
      </c>
    </row>
    <row r="74" spans="1:46" s="253" customFormat="1" x14ac:dyDescent="0.25">
      <c r="A74" s="253" t="str">
        <f t="shared" si="75"/>
        <v>allrecyclingCRY3Y2X</v>
      </c>
      <c r="B74" s="241" t="str">
        <f t="shared" si="76"/>
        <v>camasrecyclingCRY3Y2X</v>
      </c>
      <c r="C74" s="232" t="s">
        <v>466</v>
      </c>
      <c r="D74" s="232" t="s">
        <v>549</v>
      </c>
      <c r="E74" s="238">
        <v>310.39</v>
      </c>
      <c r="F74" s="238">
        <v>310.39</v>
      </c>
      <c r="G74" s="238">
        <v>310.39</v>
      </c>
      <c r="H74" s="261"/>
      <c r="I74" s="243">
        <v>539.98</v>
      </c>
      <c r="J74" s="243">
        <v>539.98</v>
      </c>
      <c r="K74" s="243">
        <v>539.98</v>
      </c>
      <c r="L74" s="243">
        <v>566.98</v>
      </c>
      <c r="M74" s="243">
        <v>566.98</v>
      </c>
      <c r="N74" s="243">
        <v>566.98</v>
      </c>
      <c r="O74" s="243">
        <v>566.98</v>
      </c>
      <c r="P74" s="243">
        <v>566.98</v>
      </c>
      <c r="Q74" s="243">
        <v>566.98</v>
      </c>
      <c r="R74" s="243">
        <v>566.98</v>
      </c>
      <c r="S74" s="243">
        <v>566.98</v>
      </c>
      <c r="T74" s="243">
        <v>566.98</v>
      </c>
      <c r="U74" s="233">
        <f t="shared" si="59"/>
        <v>6722.7599999999984</v>
      </c>
      <c r="W74" s="240">
        <f t="shared" si="60"/>
        <v>1.7396823351267761</v>
      </c>
      <c r="X74" s="240">
        <f t="shared" si="61"/>
        <v>1.7396823351267761</v>
      </c>
      <c r="Y74" s="240">
        <f t="shared" si="62"/>
        <v>1.7396823351267761</v>
      </c>
      <c r="Z74" s="240">
        <f t="shared" si="63"/>
        <v>1.826669673636393</v>
      </c>
      <c r="AA74" s="240">
        <f t="shared" si="64"/>
        <v>1.826669673636393</v>
      </c>
      <c r="AB74" s="240">
        <f t="shared" si="65"/>
        <v>1.826669673636393</v>
      </c>
      <c r="AC74" s="240">
        <f t="shared" si="66"/>
        <v>1.826669673636393</v>
      </c>
      <c r="AD74" s="240">
        <f t="shared" si="67"/>
        <v>1.826669673636393</v>
      </c>
      <c r="AE74" s="240">
        <f t="shared" si="68"/>
        <v>1.826669673636393</v>
      </c>
      <c r="AF74" s="240">
        <f t="shared" si="69"/>
        <v>1.826669673636393</v>
      </c>
      <c r="AG74" s="240">
        <f t="shared" si="70"/>
        <v>1.826669673636393</v>
      </c>
      <c r="AH74" s="240">
        <f t="shared" si="71"/>
        <v>1.826669673636393</v>
      </c>
      <c r="AI74" s="256">
        <f t="shared" si="72"/>
        <v>1.8049228390089886</v>
      </c>
      <c r="AJ74" s="242">
        <f t="shared" si="73"/>
        <v>21.659074068107863</v>
      </c>
      <c r="AK74" s="241"/>
      <c r="AM74" s="241">
        <v>0</v>
      </c>
      <c r="AN74" s="240">
        <f t="shared" si="77"/>
        <v>0</v>
      </c>
      <c r="AO74" s="241">
        <v>1</v>
      </c>
      <c r="AP74" s="240">
        <f t="shared" si="78"/>
        <v>1.8049228390089886</v>
      </c>
      <c r="AQ74" s="241">
        <v>0</v>
      </c>
      <c r="AR74" s="240">
        <f t="shared" si="57"/>
        <v>0</v>
      </c>
      <c r="AS74" s="241">
        <v>0</v>
      </c>
      <c r="AT74" s="240">
        <f t="shared" si="58"/>
        <v>0</v>
      </c>
    </row>
    <row r="75" spans="1:46" s="253" customFormat="1" x14ac:dyDescent="0.25">
      <c r="A75" s="253" t="str">
        <f t="shared" si="75"/>
        <v>allrecyclingCRY3YEOW</v>
      </c>
      <c r="B75" s="241" t="str">
        <f t="shared" si="76"/>
        <v>camasrecyclingCRY3YEOW</v>
      </c>
      <c r="C75" s="232" t="s">
        <v>469</v>
      </c>
      <c r="D75" s="232" t="s">
        <v>552</v>
      </c>
      <c r="E75" s="238">
        <v>106</v>
      </c>
      <c r="F75" s="238">
        <v>106</v>
      </c>
      <c r="G75" s="238">
        <v>106</v>
      </c>
      <c r="H75" s="261"/>
      <c r="I75" s="243">
        <v>106</v>
      </c>
      <c r="J75" s="243">
        <v>106</v>
      </c>
      <c r="K75" s="243">
        <v>106</v>
      </c>
      <c r="L75" s="243">
        <v>111.3</v>
      </c>
      <c r="M75" s="243">
        <v>111.3</v>
      </c>
      <c r="N75" s="243">
        <v>111.3</v>
      </c>
      <c r="O75" s="243">
        <v>111.3</v>
      </c>
      <c r="P75" s="243">
        <v>111.3</v>
      </c>
      <c r="Q75" s="243">
        <v>111.3</v>
      </c>
      <c r="R75" s="243">
        <v>111.3</v>
      </c>
      <c r="S75" s="243">
        <v>111.3</v>
      </c>
      <c r="T75" s="243">
        <v>222.6</v>
      </c>
      <c r="U75" s="233">
        <f t="shared" si="59"/>
        <v>1430.9999999999998</v>
      </c>
      <c r="W75" s="240">
        <f t="shared" si="60"/>
        <v>1</v>
      </c>
      <c r="X75" s="240">
        <f t="shared" si="61"/>
        <v>1</v>
      </c>
      <c r="Y75" s="240">
        <f t="shared" si="62"/>
        <v>1</v>
      </c>
      <c r="Z75" s="240">
        <f t="shared" si="63"/>
        <v>1.05</v>
      </c>
      <c r="AA75" s="240">
        <f t="shared" si="64"/>
        <v>1.05</v>
      </c>
      <c r="AB75" s="240">
        <f t="shared" si="65"/>
        <v>1.05</v>
      </c>
      <c r="AC75" s="240">
        <f t="shared" si="66"/>
        <v>1.05</v>
      </c>
      <c r="AD75" s="240">
        <f t="shared" si="67"/>
        <v>1.05</v>
      </c>
      <c r="AE75" s="240">
        <f t="shared" si="68"/>
        <v>1.05</v>
      </c>
      <c r="AF75" s="240">
        <f t="shared" si="69"/>
        <v>1.05</v>
      </c>
      <c r="AG75" s="240">
        <f t="shared" si="70"/>
        <v>1.05</v>
      </c>
      <c r="AH75" s="240">
        <f t="shared" si="71"/>
        <v>2.1</v>
      </c>
      <c r="AI75" s="256">
        <f t="shared" si="72"/>
        <v>1.1250000000000002</v>
      </c>
      <c r="AJ75" s="242">
        <f t="shared" si="73"/>
        <v>13.500000000000002</v>
      </c>
      <c r="AK75" s="241"/>
      <c r="AM75" s="241">
        <v>0</v>
      </c>
      <c r="AN75" s="240">
        <f t="shared" si="77"/>
        <v>0</v>
      </c>
      <c r="AO75" s="241">
        <v>1</v>
      </c>
      <c r="AP75" s="240">
        <f t="shared" si="78"/>
        <v>1.1250000000000002</v>
      </c>
      <c r="AQ75" s="241">
        <v>0</v>
      </c>
      <c r="AR75" s="240">
        <f t="shared" si="57"/>
        <v>0</v>
      </c>
      <c r="AS75" s="241">
        <v>0</v>
      </c>
      <c r="AT75" s="240">
        <f t="shared" si="58"/>
        <v>0</v>
      </c>
    </row>
    <row r="76" spans="1:46" s="253" customFormat="1" x14ac:dyDescent="0.25">
      <c r="A76" s="253" t="str">
        <f t="shared" si="75"/>
        <v>allrecyclingCRY4Y1X</v>
      </c>
      <c r="B76" s="241" t="str">
        <f t="shared" si="76"/>
        <v>camasrecyclingCRY4Y1X</v>
      </c>
      <c r="C76" s="232" t="s">
        <v>470</v>
      </c>
      <c r="D76" s="232" t="s">
        <v>553</v>
      </c>
      <c r="E76" s="238">
        <v>188.52</v>
      </c>
      <c r="F76" s="238">
        <v>188.52</v>
      </c>
      <c r="G76" s="238">
        <v>188.52</v>
      </c>
      <c r="H76" s="261"/>
      <c r="I76" s="243">
        <v>1483.57</v>
      </c>
      <c r="J76" s="243">
        <v>1483.57</v>
      </c>
      <c r="K76" s="243">
        <v>1483.57</v>
      </c>
      <c r="L76" s="243">
        <v>1557.78</v>
      </c>
      <c r="M76" s="243">
        <v>1557.78</v>
      </c>
      <c r="N76" s="243">
        <v>1557.78</v>
      </c>
      <c r="O76" s="243">
        <v>1557.78</v>
      </c>
      <c r="P76" s="243">
        <v>1557.78</v>
      </c>
      <c r="Q76" s="243">
        <v>1557.78</v>
      </c>
      <c r="R76" s="243">
        <v>1557.78</v>
      </c>
      <c r="S76" s="243">
        <v>1471.72</v>
      </c>
      <c r="T76" s="243">
        <v>1385.65</v>
      </c>
      <c r="U76" s="233">
        <f t="shared" si="59"/>
        <v>18212.540000000005</v>
      </c>
      <c r="W76" s="240">
        <f t="shared" si="60"/>
        <v>7.8695629110969652</v>
      </c>
      <c r="X76" s="240">
        <f t="shared" si="61"/>
        <v>7.8695629110969652</v>
      </c>
      <c r="Y76" s="240">
        <f t="shared" si="62"/>
        <v>7.8695629110969652</v>
      </c>
      <c r="Z76" s="240">
        <f t="shared" si="63"/>
        <v>8.2632081476766377</v>
      </c>
      <c r="AA76" s="240">
        <f t="shared" si="64"/>
        <v>8.2632081476766377</v>
      </c>
      <c r="AB76" s="240">
        <f t="shared" si="65"/>
        <v>8.2632081476766377</v>
      </c>
      <c r="AC76" s="240">
        <f t="shared" si="66"/>
        <v>8.2632081476766377</v>
      </c>
      <c r="AD76" s="240">
        <f t="shared" si="67"/>
        <v>8.2632081476766377</v>
      </c>
      <c r="AE76" s="240">
        <f t="shared" si="68"/>
        <v>8.2632081476766377</v>
      </c>
      <c r="AF76" s="240">
        <f t="shared" si="69"/>
        <v>8.2632081476766377</v>
      </c>
      <c r="AG76" s="240">
        <f t="shared" si="70"/>
        <v>7.806704858900912</v>
      </c>
      <c r="AH76" s="240">
        <f t="shared" si="71"/>
        <v>7.3501485253554</v>
      </c>
      <c r="AI76" s="256">
        <f t="shared" si="72"/>
        <v>8.0506665959403048</v>
      </c>
      <c r="AJ76" s="242">
        <f t="shared" si="73"/>
        <v>96.607999151283664</v>
      </c>
      <c r="AK76" s="241"/>
      <c r="AM76" s="241">
        <v>0</v>
      </c>
      <c r="AN76" s="240">
        <f t="shared" si="77"/>
        <v>0</v>
      </c>
      <c r="AO76" s="241">
        <v>1</v>
      </c>
      <c r="AP76" s="240">
        <f t="shared" si="78"/>
        <v>8.0506665959403048</v>
      </c>
      <c r="AQ76" s="241">
        <v>0</v>
      </c>
      <c r="AR76" s="240">
        <f t="shared" si="57"/>
        <v>0</v>
      </c>
      <c r="AS76" s="241">
        <v>0</v>
      </c>
      <c r="AT76" s="240">
        <f t="shared" si="58"/>
        <v>0</v>
      </c>
    </row>
    <row r="77" spans="1:46" s="253" customFormat="1" x14ac:dyDescent="0.25">
      <c r="A77" s="253" t="str">
        <f t="shared" si="75"/>
        <v>allrecyclingCRY4Y2X</v>
      </c>
      <c r="B77" s="241" t="str">
        <f t="shared" si="76"/>
        <v>camasrecyclingCRY4Y2X</v>
      </c>
      <c r="C77" s="232" t="s">
        <v>471</v>
      </c>
      <c r="D77" s="232" t="s">
        <v>554</v>
      </c>
      <c r="E77" s="238">
        <v>338.11</v>
      </c>
      <c r="F77" s="238">
        <v>338.11</v>
      </c>
      <c r="G77" s="238">
        <v>338.11</v>
      </c>
      <c r="H77" s="261"/>
      <c r="I77" s="243">
        <v>3633.35</v>
      </c>
      <c r="J77" s="243">
        <v>3633.35</v>
      </c>
      <c r="K77" s="243">
        <v>3654.79</v>
      </c>
      <c r="L77" s="243">
        <v>3823.89</v>
      </c>
      <c r="M77" s="243">
        <v>3823.89</v>
      </c>
      <c r="N77" s="243">
        <v>3823.89</v>
      </c>
      <c r="O77" s="243">
        <v>3823.89</v>
      </c>
      <c r="P77" s="243">
        <v>3823.89</v>
      </c>
      <c r="Q77" s="243">
        <v>3823.89</v>
      </c>
      <c r="R77" s="243">
        <v>3823.89</v>
      </c>
      <c r="S77" s="243">
        <v>4001.4</v>
      </c>
      <c r="T77" s="243">
        <v>4178.91</v>
      </c>
      <c r="U77" s="233">
        <f t="shared" si="59"/>
        <v>45869.03</v>
      </c>
      <c r="W77" s="240">
        <f t="shared" si="60"/>
        <v>10.746058974889827</v>
      </c>
      <c r="X77" s="240">
        <f t="shared" si="61"/>
        <v>10.746058974889827</v>
      </c>
      <c r="Y77" s="240">
        <f t="shared" si="62"/>
        <v>10.809470290733785</v>
      </c>
      <c r="Z77" s="240">
        <f t="shared" si="63"/>
        <v>11.30960338351424</v>
      </c>
      <c r="AA77" s="240">
        <f t="shared" si="64"/>
        <v>11.30960338351424</v>
      </c>
      <c r="AB77" s="240">
        <f t="shared" si="65"/>
        <v>11.30960338351424</v>
      </c>
      <c r="AC77" s="240">
        <f t="shared" si="66"/>
        <v>11.30960338351424</v>
      </c>
      <c r="AD77" s="240">
        <f t="shared" si="67"/>
        <v>11.30960338351424</v>
      </c>
      <c r="AE77" s="240">
        <f t="shared" si="68"/>
        <v>11.30960338351424</v>
      </c>
      <c r="AF77" s="240">
        <f t="shared" si="69"/>
        <v>11.30960338351424</v>
      </c>
      <c r="AG77" s="240">
        <f t="shared" si="70"/>
        <v>11.834610038153263</v>
      </c>
      <c r="AH77" s="240">
        <f t="shared" si="71"/>
        <v>12.359616692792285</v>
      </c>
      <c r="AI77" s="256">
        <f t="shared" si="72"/>
        <v>11.305253221338225</v>
      </c>
      <c r="AJ77" s="242">
        <f t="shared" si="73"/>
        <v>135.66303865605869</v>
      </c>
      <c r="AK77" s="241"/>
      <c r="AM77" s="241">
        <v>0</v>
      </c>
      <c r="AN77" s="240">
        <f t="shared" si="77"/>
        <v>0</v>
      </c>
      <c r="AO77" s="241">
        <v>1</v>
      </c>
      <c r="AP77" s="240">
        <f t="shared" si="78"/>
        <v>11.305253221338225</v>
      </c>
      <c r="AQ77" s="241">
        <v>0</v>
      </c>
      <c r="AR77" s="240">
        <f t="shared" si="57"/>
        <v>0</v>
      </c>
      <c r="AS77" s="241">
        <v>0</v>
      </c>
      <c r="AT77" s="240">
        <f t="shared" si="58"/>
        <v>0</v>
      </c>
    </row>
    <row r="78" spans="1:46" s="253" customFormat="1" x14ac:dyDescent="0.25">
      <c r="A78" s="253" t="str">
        <f t="shared" si="75"/>
        <v>allrecyclingCRY4YEOW</v>
      </c>
      <c r="B78" s="241" t="str">
        <f t="shared" si="76"/>
        <v>camasrecyclingCRY4YEOW</v>
      </c>
      <c r="C78" s="232" t="s">
        <v>473</v>
      </c>
      <c r="D78" s="232" t="s">
        <v>556</v>
      </c>
      <c r="E78" s="238">
        <v>117.47</v>
      </c>
      <c r="F78" s="238">
        <v>117.47</v>
      </c>
      <c r="G78" s="238">
        <v>117.47</v>
      </c>
      <c r="H78" s="261"/>
      <c r="I78" s="243">
        <v>117.47</v>
      </c>
      <c r="J78" s="243">
        <v>117.47</v>
      </c>
      <c r="K78" s="243">
        <v>117.47</v>
      </c>
      <c r="L78" s="243">
        <v>123.34</v>
      </c>
      <c r="M78" s="243">
        <v>123.34</v>
      </c>
      <c r="N78" s="243">
        <v>123.34</v>
      </c>
      <c r="O78" s="243">
        <v>123.34</v>
      </c>
      <c r="P78" s="243">
        <v>123.34</v>
      </c>
      <c r="Q78" s="243">
        <v>123.34</v>
      </c>
      <c r="R78" s="243">
        <v>123.34</v>
      </c>
      <c r="S78" s="243">
        <v>123.34</v>
      </c>
      <c r="T78" s="243">
        <v>123.34</v>
      </c>
      <c r="U78" s="233">
        <f t="shared" si="59"/>
        <v>1462.4699999999998</v>
      </c>
      <c r="W78" s="240">
        <f t="shared" si="60"/>
        <v>1</v>
      </c>
      <c r="X78" s="240">
        <f t="shared" si="61"/>
        <v>1</v>
      </c>
      <c r="Y78" s="240">
        <f t="shared" si="62"/>
        <v>1</v>
      </c>
      <c r="Z78" s="240">
        <f t="shared" si="63"/>
        <v>1.049970205158764</v>
      </c>
      <c r="AA78" s="240">
        <f t="shared" si="64"/>
        <v>1.049970205158764</v>
      </c>
      <c r="AB78" s="240">
        <f t="shared" si="65"/>
        <v>1.049970205158764</v>
      </c>
      <c r="AC78" s="240">
        <f t="shared" si="66"/>
        <v>1.049970205158764</v>
      </c>
      <c r="AD78" s="240">
        <f t="shared" si="67"/>
        <v>1.049970205158764</v>
      </c>
      <c r="AE78" s="240">
        <f t="shared" si="68"/>
        <v>1.049970205158764</v>
      </c>
      <c r="AF78" s="240">
        <f t="shared" si="69"/>
        <v>1.049970205158764</v>
      </c>
      <c r="AG78" s="240">
        <f t="shared" si="70"/>
        <v>1.049970205158764</v>
      </c>
      <c r="AH78" s="240">
        <f t="shared" si="71"/>
        <v>1.049970205158764</v>
      </c>
      <c r="AI78" s="256">
        <f t="shared" si="72"/>
        <v>1.0374776538690733</v>
      </c>
      <c r="AJ78" s="242">
        <f t="shared" si="73"/>
        <v>12.449731846428879</v>
      </c>
      <c r="AK78" s="241"/>
      <c r="AM78" s="241">
        <v>0</v>
      </c>
      <c r="AN78" s="240">
        <f t="shared" si="77"/>
        <v>0</v>
      </c>
      <c r="AO78" s="241">
        <v>1</v>
      </c>
      <c r="AP78" s="240">
        <f t="shared" si="78"/>
        <v>1.0374776538690733</v>
      </c>
      <c r="AQ78" s="241">
        <v>0</v>
      </c>
      <c r="AR78" s="240">
        <f t="shared" si="57"/>
        <v>0</v>
      </c>
      <c r="AS78" s="241">
        <v>0</v>
      </c>
      <c r="AT78" s="240">
        <f t="shared" si="58"/>
        <v>0</v>
      </c>
    </row>
    <row r="79" spans="1:46" s="253" customFormat="1" x14ac:dyDescent="0.25">
      <c r="A79" s="253" t="str">
        <f t="shared" si="75"/>
        <v>allrecyclingCRY2-4Y1X</v>
      </c>
      <c r="B79" s="241" t="str">
        <f t="shared" si="76"/>
        <v>camasrecyclingCRY2-4Y1X</v>
      </c>
      <c r="C79" s="232" t="s">
        <v>474</v>
      </c>
      <c r="D79" s="232" t="s">
        <v>557</v>
      </c>
      <c r="E79" s="238">
        <v>329.77</v>
      </c>
      <c r="F79" s="238">
        <v>329.77</v>
      </c>
      <c r="G79" s="238">
        <v>329.77</v>
      </c>
      <c r="H79" s="261"/>
      <c r="I79" s="243">
        <v>329.77</v>
      </c>
      <c r="J79" s="243">
        <v>329.77</v>
      </c>
      <c r="K79" s="243">
        <v>329.77</v>
      </c>
      <c r="L79" s="243">
        <v>346.26</v>
      </c>
      <c r="M79" s="243">
        <v>346.26</v>
      </c>
      <c r="N79" s="243">
        <v>346.26</v>
      </c>
      <c r="O79" s="243">
        <v>346.26</v>
      </c>
      <c r="P79" s="243">
        <v>346.26</v>
      </c>
      <c r="Q79" s="243">
        <v>346.26</v>
      </c>
      <c r="R79" s="243">
        <v>346.26</v>
      </c>
      <c r="S79" s="243">
        <v>346.26</v>
      </c>
      <c r="T79" s="243">
        <v>346.26</v>
      </c>
      <c r="U79" s="233">
        <f t="shared" si="59"/>
        <v>4105.6500000000005</v>
      </c>
      <c r="W79" s="240">
        <f t="shared" si="60"/>
        <v>1</v>
      </c>
      <c r="X79" s="240">
        <f t="shared" si="61"/>
        <v>1</v>
      </c>
      <c r="Y79" s="240">
        <f t="shared" si="62"/>
        <v>1</v>
      </c>
      <c r="Z79" s="240">
        <f t="shared" si="63"/>
        <v>1.0500045486247991</v>
      </c>
      <c r="AA79" s="240">
        <f t="shared" si="64"/>
        <v>1.0500045486247991</v>
      </c>
      <c r="AB79" s="240">
        <f t="shared" si="65"/>
        <v>1.0500045486247991</v>
      </c>
      <c r="AC79" s="240">
        <f t="shared" si="66"/>
        <v>1.0500045486247991</v>
      </c>
      <c r="AD79" s="240">
        <f t="shared" si="67"/>
        <v>1.0500045486247991</v>
      </c>
      <c r="AE79" s="240">
        <f t="shared" si="68"/>
        <v>1.0500045486247991</v>
      </c>
      <c r="AF79" s="240">
        <f t="shared" si="69"/>
        <v>1.0500045486247991</v>
      </c>
      <c r="AG79" s="240">
        <f t="shared" si="70"/>
        <v>1.0500045486247991</v>
      </c>
      <c r="AH79" s="240">
        <f t="shared" si="71"/>
        <v>1.0500045486247991</v>
      </c>
      <c r="AI79" s="256">
        <f t="shared" si="72"/>
        <v>1.037503411468599</v>
      </c>
      <c r="AJ79" s="242">
        <f t="shared" si="73"/>
        <v>12.450040937623189</v>
      </c>
      <c r="AK79" s="241"/>
      <c r="AM79" s="241">
        <v>0</v>
      </c>
      <c r="AN79" s="240">
        <f t="shared" si="77"/>
        <v>0</v>
      </c>
      <c r="AO79" s="241">
        <v>2</v>
      </c>
      <c r="AP79" s="240">
        <f t="shared" si="78"/>
        <v>2.0750068229371981</v>
      </c>
      <c r="AQ79" s="241">
        <v>0</v>
      </c>
      <c r="AR79" s="240">
        <f t="shared" si="57"/>
        <v>0</v>
      </c>
      <c r="AS79" s="241">
        <v>0</v>
      </c>
      <c r="AT79" s="240">
        <f t="shared" si="58"/>
        <v>0</v>
      </c>
    </row>
    <row r="80" spans="1:46" s="253" customFormat="1" x14ac:dyDescent="0.25">
      <c r="A80" s="253" t="str">
        <f t="shared" si="75"/>
        <v>allrecyclingCRY2-4Y2X</v>
      </c>
      <c r="B80" s="241" t="str">
        <f t="shared" si="76"/>
        <v>camasrecyclingCRY2-4Y2X</v>
      </c>
      <c r="C80" s="232" t="s">
        <v>475</v>
      </c>
      <c r="D80" s="232" t="s">
        <v>558</v>
      </c>
      <c r="E80" s="238">
        <v>581.97</v>
      </c>
      <c r="F80" s="238">
        <v>581.97</v>
      </c>
      <c r="G80" s="238">
        <v>581.97</v>
      </c>
      <c r="H80" s="261"/>
      <c r="I80" s="243">
        <v>581.97</v>
      </c>
      <c r="J80" s="243">
        <v>581.97</v>
      </c>
      <c r="K80" s="243">
        <v>581.97</v>
      </c>
      <c r="L80" s="243">
        <v>611.07000000000005</v>
      </c>
      <c r="M80" s="243">
        <v>611.07000000000005</v>
      </c>
      <c r="N80" s="243">
        <v>611.07000000000005</v>
      </c>
      <c r="O80" s="243">
        <v>611.07000000000005</v>
      </c>
      <c r="P80" s="243">
        <v>611.07000000000005</v>
      </c>
      <c r="Q80" s="243">
        <v>611.07000000000005</v>
      </c>
      <c r="R80" s="243">
        <v>611.07000000000005</v>
      </c>
      <c r="S80" s="243">
        <v>611.07000000000005</v>
      </c>
      <c r="T80" s="243">
        <v>611.07000000000005</v>
      </c>
      <c r="U80" s="233">
        <f t="shared" si="59"/>
        <v>7245.5399999999991</v>
      </c>
      <c r="W80" s="240">
        <f t="shared" si="60"/>
        <v>1</v>
      </c>
      <c r="X80" s="240">
        <f t="shared" si="61"/>
        <v>1</v>
      </c>
      <c r="Y80" s="240">
        <f t="shared" si="62"/>
        <v>1</v>
      </c>
      <c r="Z80" s="240">
        <f t="shared" si="63"/>
        <v>1.050002577452446</v>
      </c>
      <c r="AA80" s="240">
        <f t="shared" si="64"/>
        <v>1.050002577452446</v>
      </c>
      <c r="AB80" s="240">
        <f t="shared" si="65"/>
        <v>1.050002577452446</v>
      </c>
      <c r="AC80" s="240">
        <f t="shared" si="66"/>
        <v>1.050002577452446</v>
      </c>
      <c r="AD80" s="240">
        <f t="shared" si="67"/>
        <v>1.050002577452446</v>
      </c>
      <c r="AE80" s="240">
        <f t="shared" si="68"/>
        <v>1.050002577452446</v>
      </c>
      <c r="AF80" s="240">
        <f t="shared" si="69"/>
        <v>1.050002577452446</v>
      </c>
      <c r="AG80" s="240">
        <f t="shared" si="70"/>
        <v>1.050002577452446</v>
      </c>
      <c r="AH80" s="240">
        <f t="shared" si="71"/>
        <v>1.050002577452446</v>
      </c>
      <c r="AI80" s="256">
        <f t="shared" si="72"/>
        <v>1.0375019330893345</v>
      </c>
      <c r="AJ80" s="242">
        <f t="shared" si="73"/>
        <v>12.450023197072014</v>
      </c>
      <c r="AK80" s="241"/>
      <c r="AM80" s="241">
        <v>0</v>
      </c>
      <c r="AN80" s="240">
        <f t="shared" si="77"/>
        <v>0</v>
      </c>
      <c r="AO80" s="241">
        <v>2</v>
      </c>
      <c r="AP80" s="240">
        <f t="shared" si="78"/>
        <v>2.0750038661786689</v>
      </c>
      <c r="AQ80" s="241">
        <v>0</v>
      </c>
      <c r="AR80" s="240">
        <f t="shared" si="57"/>
        <v>0</v>
      </c>
      <c r="AS80" s="241">
        <v>0</v>
      </c>
      <c r="AT80" s="240">
        <f t="shared" si="58"/>
        <v>0</v>
      </c>
    </row>
    <row r="81" spans="1:46" s="253" customFormat="1" x14ac:dyDescent="0.25">
      <c r="A81" s="253" t="str">
        <f t="shared" si="75"/>
        <v>allrecyclingCRY5Y2X</v>
      </c>
      <c r="B81" s="241" t="str">
        <f t="shared" si="76"/>
        <v>camasrecyclingCRY5Y2X</v>
      </c>
      <c r="C81" s="232" t="s">
        <v>477</v>
      </c>
      <c r="D81" s="232" t="s">
        <v>560</v>
      </c>
      <c r="E81" s="238">
        <v>365.81</v>
      </c>
      <c r="F81" s="238">
        <v>365.81</v>
      </c>
      <c r="G81" s="238">
        <v>365.81</v>
      </c>
      <c r="H81" s="261"/>
      <c r="I81" s="243">
        <v>289.17</v>
      </c>
      <c r="J81" s="243">
        <v>289.17</v>
      </c>
      <c r="K81" s="243">
        <v>289.17</v>
      </c>
      <c r="L81" s="243">
        <v>303.63</v>
      </c>
      <c r="M81" s="243">
        <v>303.63</v>
      </c>
      <c r="N81" s="243">
        <v>303.63</v>
      </c>
      <c r="O81" s="243">
        <v>303.63</v>
      </c>
      <c r="P81" s="243">
        <v>303.63</v>
      </c>
      <c r="Q81" s="243">
        <v>303.63</v>
      </c>
      <c r="R81" s="243">
        <v>303.63</v>
      </c>
      <c r="S81" s="243">
        <v>303.63</v>
      </c>
      <c r="T81" s="243">
        <v>303.63</v>
      </c>
      <c r="U81" s="233">
        <f t="shared" si="59"/>
        <v>3600.1800000000007</v>
      </c>
      <c r="W81" s="240">
        <f t="shared" si="60"/>
        <v>0.79049233208496217</v>
      </c>
      <c r="X81" s="240">
        <f t="shared" si="61"/>
        <v>0.79049233208496217</v>
      </c>
      <c r="Y81" s="240">
        <f t="shared" si="62"/>
        <v>0.79049233208496217</v>
      </c>
      <c r="Z81" s="240">
        <f t="shared" si="63"/>
        <v>0.83002104917853525</v>
      </c>
      <c r="AA81" s="240">
        <f t="shared" si="64"/>
        <v>0.83002104917853525</v>
      </c>
      <c r="AB81" s="240">
        <f t="shared" si="65"/>
        <v>0.83002104917853525</v>
      </c>
      <c r="AC81" s="240">
        <f t="shared" si="66"/>
        <v>0.83002104917853525</v>
      </c>
      <c r="AD81" s="240">
        <f t="shared" si="67"/>
        <v>0.83002104917853525</v>
      </c>
      <c r="AE81" s="240">
        <f t="shared" si="68"/>
        <v>0.83002104917853525</v>
      </c>
      <c r="AF81" s="240">
        <f t="shared" si="69"/>
        <v>0.83002104917853525</v>
      </c>
      <c r="AG81" s="240">
        <f t="shared" si="70"/>
        <v>0.83002104917853525</v>
      </c>
      <c r="AH81" s="240">
        <f t="shared" si="71"/>
        <v>0.83002104917853525</v>
      </c>
      <c r="AI81" s="256">
        <f t="shared" si="72"/>
        <v>0.82013886990514206</v>
      </c>
      <c r="AJ81" s="242">
        <f t="shared" si="73"/>
        <v>9.8416664388617043</v>
      </c>
      <c r="AK81" s="241"/>
      <c r="AM81" s="241">
        <v>0</v>
      </c>
      <c r="AN81" s="240">
        <f t="shared" si="77"/>
        <v>0</v>
      </c>
      <c r="AO81" s="241">
        <v>1</v>
      </c>
      <c r="AP81" s="240">
        <f t="shared" si="78"/>
        <v>0.82013886990514206</v>
      </c>
      <c r="AQ81" s="241">
        <v>0</v>
      </c>
      <c r="AR81" s="240">
        <f t="shared" si="57"/>
        <v>0</v>
      </c>
      <c r="AS81" s="241">
        <v>0</v>
      </c>
      <c r="AT81" s="240">
        <f t="shared" si="58"/>
        <v>0</v>
      </c>
    </row>
    <row r="82" spans="1:46" s="253" customFormat="1" x14ac:dyDescent="0.25">
      <c r="A82" s="253" t="str">
        <f t="shared" si="75"/>
        <v>allrecyclingCRY6Y1X</v>
      </c>
      <c r="B82" s="241" t="str">
        <f t="shared" si="76"/>
        <v>camasrecyclingCRY6Y1X</v>
      </c>
      <c r="C82" s="232" t="s">
        <v>479</v>
      </c>
      <c r="D82" s="232" t="s">
        <v>562</v>
      </c>
      <c r="E82" s="238">
        <v>216.17</v>
      </c>
      <c r="F82" s="238">
        <v>216.17</v>
      </c>
      <c r="G82" s="238">
        <v>216.17</v>
      </c>
      <c r="H82" s="261"/>
      <c r="I82" s="243">
        <v>375.92</v>
      </c>
      <c r="J82" s="243">
        <v>375.92</v>
      </c>
      <c r="K82" s="243">
        <v>375.92</v>
      </c>
      <c r="L82" s="243">
        <v>394.72</v>
      </c>
      <c r="M82" s="243">
        <v>394.72</v>
      </c>
      <c r="N82" s="243">
        <v>394.72</v>
      </c>
      <c r="O82" s="243">
        <v>394.72</v>
      </c>
      <c r="P82" s="243">
        <v>394.72</v>
      </c>
      <c r="Q82" s="243">
        <v>394.72</v>
      </c>
      <c r="R82" s="243">
        <v>394.72</v>
      </c>
      <c r="S82" s="243">
        <v>394.72</v>
      </c>
      <c r="T82" s="243">
        <v>394.72</v>
      </c>
      <c r="U82" s="233">
        <f t="shared" si="59"/>
        <v>4680.2400000000016</v>
      </c>
      <c r="W82" s="240">
        <f t="shared" si="60"/>
        <v>1.739001711615858</v>
      </c>
      <c r="X82" s="240">
        <f t="shared" si="61"/>
        <v>1.739001711615858</v>
      </c>
      <c r="Y82" s="240">
        <f t="shared" si="62"/>
        <v>1.739001711615858</v>
      </c>
      <c r="Z82" s="240">
        <f t="shared" si="63"/>
        <v>1.8259703011518715</v>
      </c>
      <c r="AA82" s="240">
        <f t="shared" si="64"/>
        <v>1.8259703011518715</v>
      </c>
      <c r="AB82" s="240">
        <f t="shared" si="65"/>
        <v>1.8259703011518715</v>
      </c>
      <c r="AC82" s="240">
        <f t="shared" si="66"/>
        <v>1.8259703011518715</v>
      </c>
      <c r="AD82" s="240">
        <f t="shared" si="67"/>
        <v>1.8259703011518715</v>
      </c>
      <c r="AE82" s="240">
        <f t="shared" si="68"/>
        <v>1.8259703011518715</v>
      </c>
      <c r="AF82" s="240">
        <f t="shared" si="69"/>
        <v>1.8259703011518715</v>
      </c>
      <c r="AG82" s="240">
        <f t="shared" si="70"/>
        <v>1.8259703011518715</v>
      </c>
      <c r="AH82" s="240">
        <f t="shared" si="71"/>
        <v>1.8259703011518715</v>
      </c>
      <c r="AI82" s="256">
        <f t="shared" si="72"/>
        <v>1.8042281537678686</v>
      </c>
      <c r="AJ82" s="242">
        <f t="shared" si="73"/>
        <v>21.650737845214422</v>
      </c>
      <c r="AK82" s="241"/>
      <c r="AM82" s="241">
        <v>0</v>
      </c>
      <c r="AN82" s="240">
        <f t="shared" si="77"/>
        <v>0</v>
      </c>
      <c r="AO82" s="241">
        <v>1</v>
      </c>
      <c r="AP82" s="240">
        <f t="shared" si="78"/>
        <v>1.8042281537678686</v>
      </c>
      <c r="AQ82" s="241">
        <v>0</v>
      </c>
      <c r="AR82" s="240">
        <f t="shared" si="57"/>
        <v>0</v>
      </c>
      <c r="AS82" s="241">
        <v>0</v>
      </c>
      <c r="AT82" s="240">
        <f t="shared" si="58"/>
        <v>0</v>
      </c>
    </row>
    <row r="83" spans="1:46" s="253" customFormat="1" x14ac:dyDescent="0.25">
      <c r="A83" s="253" t="str">
        <f t="shared" si="75"/>
        <v>allrecyclingCRY6Y2X</v>
      </c>
      <c r="B83" s="241" t="str">
        <f>"camas"&amp;"recycling"&amp;C83</f>
        <v>camasrecyclingCRY6Y2X</v>
      </c>
      <c r="C83" s="232" t="s">
        <v>480</v>
      </c>
      <c r="D83" s="232" t="s">
        <v>563</v>
      </c>
      <c r="E83" s="238">
        <v>390.75</v>
      </c>
      <c r="F83" s="238">
        <v>390.75</v>
      </c>
      <c r="G83" s="238">
        <v>390.75</v>
      </c>
      <c r="H83" s="261"/>
      <c r="I83" s="243">
        <v>390.75</v>
      </c>
      <c r="J83" s="243">
        <v>390.75</v>
      </c>
      <c r="K83" s="243">
        <v>390.75</v>
      </c>
      <c r="L83" s="243">
        <v>410.29</v>
      </c>
      <c r="M83" s="243">
        <v>410.29</v>
      </c>
      <c r="N83" s="243">
        <v>410.29</v>
      </c>
      <c r="O83" s="243">
        <v>410.29</v>
      </c>
      <c r="P83" s="243">
        <v>410.29</v>
      </c>
      <c r="Q83" s="243">
        <v>410.29</v>
      </c>
      <c r="R83" s="243">
        <v>410.29</v>
      </c>
      <c r="S83" s="243">
        <v>410.29</v>
      </c>
      <c r="T83" s="243">
        <v>410.29</v>
      </c>
      <c r="U83" s="233">
        <f>SUM(I83:T83)</f>
        <v>4864.8599999999997</v>
      </c>
      <c r="W83" s="240">
        <f t="shared" si="60"/>
        <v>1</v>
      </c>
      <c r="X83" s="240">
        <f t="shared" si="61"/>
        <v>1</v>
      </c>
      <c r="Y83" s="240">
        <f t="shared" si="62"/>
        <v>1</v>
      </c>
      <c r="Z83" s="240">
        <f t="shared" si="63"/>
        <v>1.0500063979526553</v>
      </c>
      <c r="AA83" s="240">
        <f t="shared" si="64"/>
        <v>1.0500063979526553</v>
      </c>
      <c r="AB83" s="240">
        <f t="shared" si="65"/>
        <v>1.0500063979526553</v>
      </c>
      <c r="AC83" s="240">
        <f t="shared" si="66"/>
        <v>1.0500063979526553</v>
      </c>
      <c r="AD83" s="240">
        <f t="shared" si="67"/>
        <v>1.0500063979526553</v>
      </c>
      <c r="AE83" s="240">
        <f t="shared" si="68"/>
        <v>1.0500063979526553</v>
      </c>
      <c r="AF83" s="240">
        <f t="shared" si="69"/>
        <v>1.0500063979526553</v>
      </c>
      <c r="AG83" s="240">
        <f t="shared" si="70"/>
        <v>1.0500063979526553</v>
      </c>
      <c r="AH83" s="240">
        <f t="shared" si="71"/>
        <v>1.0500063979526553</v>
      </c>
      <c r="AI83" s="256">
        <f t="shared" si="72"/>
        <v>1.0375047984644916</v>
      </c>
      <c r="AJ83" s="242">
        <f t="shared" si="73"/>
        <v>12.450057581573899</v>
      </c>
      <c r="AK83" s="241"/>
      <c r="AM83" s="241">
        <v>0</v>
      </c>
      <c r="AN83" s="240">
        <f t="shared" si="77"/>
        <v>0</v>
      </c>
      <c r="AO83" s="241">
        <v>1</v>
      </c>
      <c r="AP83" s="240">
        <f t="shared" si="78"/>
        <v>1.0375047984644916</v>
      </c>
      <c r="AQ83" s="241">
        <v>0</v>
      </c>
      <c r="AR83" s="240">
        <f t="shared" si="57"/>
        <v>0</v>
      </c>
      <c r="AS83" s="241">
        <v>0</v>
      </c>
      <c r="AT83" s="240">
        <f t="shared" si="58"/>
        <v>0</v>
      </c>
    </row>
    <row r="84" spans="1:46" s="253" customFormat="1" x14ac:dyDescent="0.25">
      <c r="A84" s="253" t="str">
        <f>"all"&amp;"recycling"&amp;C84</f>
        <v>allrecyclingSFR65G1X</v>
      </c>
      <c r="B84" s="241" t="str">
        <f>"camas"&amp;"recycling"&amp;C84</f>
        <v>camasrecyclingSFR65G1X</v>
      </c>
      <c r="C84" s="232" t="s">
        <v>1276</v>
      </c>
      <c r="D84" s="232" t="s">
        <v>1365</v>
      </c>
      <c r="E84" s="238">
        <v>24.72</v>
      </c>
      <c r="F84" s="238">
        <v>24.72</v>
      </c>
      <c r="G84" s="238">
        <v>24.72</v>
      </c>
      <c r="H84" s="261"/>
      <c r="I84" s="243">
        <v>253.4</v>
      </c>
      <c r="J84" s="243">
        <v>253.4</v>
      </c>
      <c r="K84" s="243">
        <v>253.4</v>
      </c>
      <c r="L84" s="243">
        <v>253.4</v>
      </c>
      <c r="M84" s="243">
        <v>253.4</v>
      </c>
      <c r="N84" s="243">
        <v>253.4</v>
      </c>
      <c r="O84" s="243">
        <v>253.4</v>
      </c>
      <c r="P84" s="243">
        <v>253.4</v>
      </c>
      <c r="Q84" s="243">
        <v>253.4</v>
      </c>
      <c r="R84" s="243">
        <v>253.4</v>
      </c>
      <c r="S84" s="243">
        <v>253.4</v>
      </c>
      <c r="T84" s="243">
        <v>253.4</v>
      </c>
      <c r="U84" s="233">
        <f>SUM(I84:T84)</f>
        <v>3040.8000000000006</v>
      </c>
      <c r="W84" s="240">
        <f t="shared" si="60"/>
        <v>10.250809061488674</v>
      </c>
      <c r="X84" s="240">
        <f t="shared" si="61"/>
        <v>10.250809061488674</v>
      </c>
      <c r="Y84" s="240">
        <f t="shared" si="62"/>
        <v>10.250809061488674</v>
      </c>
      <c r="Z84" s="240">
        <f t="shared" si="63"/>
        <v>10.250809061488674</v>
      </c>
      <c r="AA84" s="240">
        <f t="shared" si="64"/>
        <v>10.250809061488674</v>
      </c>
      <c r="AB84" s="240">
        <f t="shared" si="65"/>
        <v>10.250809061488674</v>
      </c>
      <c r="AC84" s="240">
        <f t="shared" si="66"/>
        <v>10.250809061488674</v>
      </c>
      <c r="AD84" s="240">
        <f t="shared" si="67"/>
        <v>10.250809061488674</v>
      </c>
      <c r="AE84" s="240">
        <f t="shared" si="68"/>
        <v>10.250809061488674</v>
      </c>
      <c r="AF84" s="240">
        <f t="shared" si="69"/>
        <v>10.250809061488674</v>
      </c>
      <c r="AG84" s="240">
        <f t="shared" si="70"/>
        <v>10.250809061488674</v>
      </c>
      <c r="AH84" s="240">
        <f t="shared" si="71"/>
        <v>10.250809061488674</v>
      </c>
      <c r="AI84" s="256">
        <f t="shared" si="72"/>
        <v>10.250809061488672</v>
      </c>
      <c r="AJ84" s="242">
        <f t="shared" si="73"/>
        <v>123.00970873786406</v>
      </c>
      <c r="AK84" s="241"/>
      <c r="AM84" s="241">
        <v>1</v>
      </c>
      <c r="AN84" s="240">
        <f t="shared" si="77"/>
        <v>10.250809061488672</v>
      </c>
      <c r="AO84" s="241">
        <v>0</v>
      </c>
      <c r="AP84" s="240">
        <f t="shared" si="78"/>
        <v>0</v>
      </c>
      <c r="AQ84" s="241">
        <v>0</v>
      </c>
      <c r="AR84" s="240">
        <f t="shared" si="57"/>
        <v>0</v>
      </c>
      <c r="AS84" s="241">
        <v>0</v>
      </c>
      <c r="AT84" s="240">
        <f t="shared" si="58"/>
        <v>0</v>
      </c>
    </row>
    <row r="85" spans="1:46" s="253" customFormat="1" x14ac:dyDescent="0.25">
      <c r="A85" s="253" t="str">
        <f t="shared" si="75"/>
        <v>allrecyclingCRY8Y1X</v>
      </c>
      <c r="B85" s="241" t="str">
        <f t="shared" si="76"/>
        <v>camasrecyclingCRY8Y1X</v>
      </c>
      <c r="C85" s="232" t="s">
        <v>483</v>
      </c>
      <c r="D85" s="232" t="s">
        <v>566</v>
      </c>
      <c r="E85" s="238">
        <v>230.01</v>
      </c>
      <c r="F85" s="238">
        <v>230.01</v>
      </c>
      <c r="G85" s="238">
        <v>230.01</v>
      </c>
      <c r="H85" s="261"/>
      <c r="I85" s="243">
        <v>310.79000000000002</v>
      </c>
      <c r="J85" s="243">
        <v>425.8</v>
      </c>
      <c r="K85" s="243">
        <v>442.44</v>
      </c>
      <c r="L85" s="243">
        <v>453.94</v>
      </c>
      <c r="M85" s="243">
        <v>453.94</v>
      </c>
      <c r="N85" s="243">
        <v>453.94</v>
      </c>
      <c r="O85" s="243">
        <v>453.94</v>
      </c>
      <c r="P85" s="243">
        <v>453.94</v>
      </c>
      <c r="Q85" s="243">
        <v>453.94</v>
      </c>
      <c r="R85" s="243">
        <v>453.94</v>
      </c>
      <c r="S85" s="243">
        <v>453.94</v>
      </c>
      <c r="T85" s="243">
        <v>453.94</v>
      </c>
      <c r="U85" s="233">
        <f t="shared" si="59"/>
        <v>5264.4899999999989</v>
      </c>
      <c r="W85" s="240">
        <f t="shared" si="60"/>
        <v>1.351202121646885</v>
      </c>
      <c r="X85" s="240">
        <f t="shared" si="61"/>
        <v>1.8512238598321813</v>
      </c>
      <c r="Y85" s="240">
        <f t="shared" si="62"/>
        <v>1.9235685404982392</v>
      </c>
      <c r="Z85" s="240">
        <f t="shared" si="63"/>
        <v>1.9735663666797096</v>
      </c>
      <c r="AA85" s="240">
        <f t="shared" si="64"/>
        <v>1.9735663666797096</v>
      </c>
      <c r="AB85" s="240">
        <f t="shared" si="65"/>
        <v>1.9735663666797096</v>
      </c>
      <c r="AC85" s="240">
        <f t="shared" si="66"/>
        <v>1.9735663666797096</v>
      </c>
      <c r="AD85" s="240">
        <f t="shared" si="67"/>
        <v>1.9735663666797096</v>
      </c>
      <c r="AE85" s="240">
        <f t="shared" si="68"/>
        <v>1.9735663666797096</v>
      </c>
      <c r="AF85" s="240">
        <f t="shared" si="69"/>
        <v>1.9735663666797096</v>
      </c>
      <c r="AG85" s="240">
        <f t="shared" si="70"/>
        <v>1.9735663666797096</v>
      </c>
      <c r="AH85" s="240">
        <f t="shared" si="71"/>
        <v>1.9735663666797096</v>
      </c>
      <c r="AI85" s="256">
        <f t="shared" si="72"/>
        <v>1.9073409851745573</v>
      </c>
      <c r="AJ85" s="242">
        <f t="shared" si="73"/>
        <v>22.888091822094687</v>
      </c>
      <c r="AK85" s="241"/>
      <c r="AM85" s="241">
        <v>0</v>
      </c>
      <c r="AN85" s="240">
        <f t="shared" si="77"/>
        <v>0</v>
      </c>
      <c r="AO85" s="241">
        <v>1</v>
      </c>
      <c r="AP85" s="240">
        <f t="shared" si="78"/>
        <v>1.9073409851745573</v>
      </c>
      <c r="AQ85" s="241">
        <v>0</v>
      </c>
      <c r="AR85" s="240">
        <f t="shared" si="57"/>
        <v>0</v>
      </c>
      <c r="AS85" s="241">
        <v>0</v>
      </c>
      <c r="AT85" s="240">
        <f t="shared" si="58"/>
        <v>0</v>
      </c>
    </row>
    <row r="86" spans="1:46" s="253" customFormat="1" x14ac:dyDescent="0.25">
      <c r="A86" s="253" t="str">
        <f>"all"&amp;"recycling"&amp;C86</f>
        <v>allrecyclingCRY8YEOW</v>
      </c>
      <c r="B86" s="241" t="str">
        <f>"camas"&amp;"recycling"&amp;C86</f>
        <v>camasrecyclingCRY8YEOW</v>
      </c>
      <c r="C86" s="232" t="s">
        <v>886</v>
      </c>
      <c r="D86" s="232" t="s">
        <v>898</v>
      </c>
      <c r="E86" s="238">
        <v>140.99</v>
      </c>
      <c r="F86" s="238">
        <v>140.99</v>
      </c>
      <c r="G86" s="238">
        <v>140.99</v>
      </c>
      <c r="H86" s="261"/>
      <c r="I86" s="243">
        <v>140.99</v>
      </c>
      <c r="J86" s="243">
        <v>140.99</v>
      </c>
      <c r="K86" s="243">
        <v>140.99</v>
      </c>
      <c r="L86" s="243">
        <v>148.04</v>
      </c>
      <c r="M86" s="243">
        <v>148.04</v>
      </c>
      <c r="N86" s="243">
        <v>148.04</v>
      </c>
      <c r="O86" s="243">
        <v>148.04</v>
      </c>
      <c r="P86" s="243">
        <v>148.04</v>
      </c>
      <c r="Q86" s="243">
        <v>148.04</v>
      </c>
      <c r="R86" s="243">
        <v>148.04</v>
      </c>
      <c r="S86" s="243">
        <v>148.04</v>
      </c>
      <c r="T86" s="243">
        <v>148.04</v>
      </c>
      <c r="U86" s="233">
        <f>SUM(I86:T86)</f>
        <v>1755.3299999999997</v>
      </c>
      <c r="W86" s="240">
        <f t="shared" si="60"/>
        <v>1</v>
      </c>
      <c r="X86" s="240">
        <f t="shared" si="61"/>
        <v>1</v>
      </c>
      <c r="Y86" s="240">
        <f t="shared" si="62"/>
        <v>1</v>
      </c>
      <c r="Z86" s="240">
        <f t="shared" si="63"/>
        <v>1.0500035463508048</v>
      </c>
      <c r="AA86" s="240">
        <f t="shared" si="64"/>
        <v>1.0500035463508048</v>
      </c>
      <c r="AB86" s="240">
        <f t="shared" si="65"/>
        <v>1.0500035463508048</v>
      </c>
      <c r="AC86" s="240">
        <f t="shared" si="66"/>
        <v>1.0500035463508048</v>
      </c>
      <c r="AD86" s="240">
        <f t="shared" si="67"/>
        <v>1.0500035463508048</v>
      </c>
      <c r="AE86" s="240">
        <f t="shared" si="68"/>
        <v>1.0500035463508048</v>
      </c>
      <c r="AF86" s="240">
        <f t="shared" si="69"/>
        <v>1.0500035463508048</v>
      </c>
      <c r="AG86" s="240">
        <f t="shared" si="70"/>
        <v>1.0500035463508048</v>
      </c>
      <c r="AH86" s="240">
        <f t="shared" si="71"/>
        <v>1.0500035463508048</v>
      </c>
      <c r="AI86" s="256">
        <f t="shared" si="72"/>
        <v>1.0375026597631036</v>
      </c>
      <c r="AJ86" s="242">
        <f t="shared" si="73"/>
        <v>12.450031917157244</v>
      </c>
      <c r="AK86" s="241"/>
      <c r="AM86" s="241">
        <v>0</v>
      </c>
      <c r="AN86" s="240">
        <f t="shared" si="77"/>
        <v>0</v>
      </c>
      <c r="AO86" s="241">
        <v>1</v>
      </c>
      <c r="AP86" s="240">
        <f t="shared" si="78"/>
        <v>1.0375026597631036</v>
      </c>
      <c r="AQ86" s="241">
        <v>0</v>
      </c>
      <c r="AR86" s="240">
        <f t="shared" si="57"/>
        <v>0</v>
      </c>
      <c r="AS86" s="241">
        <v>0</v>
      </c>
      <c r="AT86" s="240">
        <f t="shared" si="58"/>
        <v>0</v>
      </c>
    </row>
    <row r="87" spans="1:46" s="253" customFormat="1" x14ac:dyDescent="0.25">
      <c r="A87" s="253" t="str">
        <f t="shared" si="75"/>
        <v>allrecyclingCRY901X</v>
      </c>
      <c r="B87" s="241" t="str">
        <f t="shared" si="76"/>
        <v>camasrecyclingCRY901X</v>
      </c>
      <c r="C87" s="232" t="s">
        <v>490</v>
      </c>
      <c r="D87" s="232" t="s">
        <v>573</v>
      </c>
      <c r="E87" s="238">
        <v>93.21</v>
      </c>
      <c r="F87" s="238">
        <v>93.21</v>
      </c>
      <c r="G87" s="238">
        <v>93.21</v>
      </c>
      <c r="H87" s="261"/>
      <c r="I87" s="243">
        <v>1363.31</v>
      </c>
      <c r="J87" s="243">
        <v>1316.69</v>
      </c>
      <c r="K87" s="243">
        <v>1176.8900000000001</v>
      </c>
      <c r="L87" s="243">
        <v>1235.73</v>
      </c>
      <c r="M87" s="243">
        <v>1309.1300000000001</v>
      </c>
      <c r="N87" s="243">
        <v>1333.6</v>
      </c>
      <c r="O87" s="243">
        <v>1358.07</v>
      </c>
      <c r="P87" s="243">
        <v>1431.47</v>
      </c>
      <c r="Q87" s="243">
        <v>1431.47</v>
      </c>
      <c r="R87" s="243">
        <v>1431.47</v>
      </c>
      <c r="S87" s="243">
        <v>1431.47</v>
      </c>
      <c r="T87" s="243">
        <v>1431.47</v>
      </c>
      <c r="U87" s="233">
        <f t="shared" si="59"/>
        <v>16250.769999999997</v>
      </c>
      <c r="W87" s="240">
        <f t="shared" si="60"/>
        <v>14.626220362622037</v>
      </c>
      <c r="X87" s="240">
        <f t="shared" si="61"/>
        <v>14.126059435682869</v>
      </c>
      <c r="Y87" s="240">
        <f t="shared" si="62"/>
        <v>12.626220362622039</v>
      </c>
      <c r="Z87" s="240">
        <f t="shared" si="63"/>
        <v>13.257483102671388</v>
      </c>
      <c r="AA87" s="240">
        <f t="shared" si="64"/>
        <v>14.044952258341382</v>
      </c>
      <c r="AB87" s="240">
        <f t="shared" si="65"/>
        <v>14.307477738440081</v>
      </c>
      <c r="AC87" s="240">
        <f t="shared" si="66"/>
        <v>14.570003218538783</v>
      </c>
      <c r="AD87" s="240">
        <f t="shared" si="67"/>
        <v>15.357472374208777</v>
      </c>
      <c r="AE87" s="240">
        <f t="shared" si="68"/>
        <v>15.357472374208777</v>
      </c>
      <c r="AF87" s="240">
        <f t="shared" si="69"/>
        <v>15.357472374208777</v>
      </c>
      <c r="AG87" s="240">
        <f t="shared" si="70"/>
        <v>15.357472374208777</v>
      </c>
      <c r="AH87" s="240">
        <f t="shared" si="71"/>
        <v>15.357472374208777</v>
      </c>
      <c r="AI87" s="256">
        <f t="shared" si="72"/>
        <v>14.528814862496874</v>
      </c>
      <c r="AJ87" s="242">
        <f t="shared" si="73"/>
        <v>174.3457783499625</v>
      </c>
      <c r="AK87" s="241"/>
      <c r="AM87" s="241">
        <v>1</v>
      </c>
      <c r="AN87" s="240">
        <f t="shared" ref="AN87:AP88" si="79">+$AI87*AM87</f>
        <v>14.528814862496874</v>
      </c>
      <c r="AO87" s="241">
        <v>0</v>
      </c>
      <c r="AP87" s="240">
        <f t="shared" si="79"/>
        <v>0</v>
      </c>
      <c r="AQ87" s="241">
        <v>0</v>
      </c>
      <c r="AR87" s="240">
        <f t="shared" si="57"/>
        <v>0</v>
      </c>
      <c r="AS87" s="241">
        <v>0</v>
      </c>
      <c r="AT87" s="240">
        <f t="shared" si="58"/>
        <v>0</v>
      </c>
    </row>
    <row r="88" spans="1:46" s="253" customFormat="1" x14ac:dyDescent="0.25">
      <c r="A88" s="253" t="str">
        <f>"all"&amp;"recycling"&amp;C88</f>
        <v>allrecyclingCRY901X2</v>
      </c>
      <c r="B88" s="241" t="str">
        <f t="shared" si="76"/>
        <v>camasrecyclingCRY901X2</v>
      </c>
      <c r="C88" s="232" t="s">
        <v>494</v>
      </c>
      <c r="D88" s="232" t="s">
        <v>577</v>
      </c>
      <c r="E88" s="238">
        <v>104.57</v>
      </c>
      <c r="F88" s="238">
        <v>104.57</v>
      </c>
      <c r="G88" s="238">
        <v>104.57</v>
      </c>
      <c r="H88" s="261"/>
      <c r="I88" s="243">
        <v>272.14999999999998</v>
      </c>
      <c r="J88" s="243">
        <v>272.14999999999998</v>
      </c>
      <c r="K88" s="243">
        <v>272.14999999999998</v>
      </c>
      <c r="L88" s="243">
        <v>285.76</v>
      </c>
      <c r="M88" s="243">
        <v>285.76</v>
      </c>
      <c r="N88" s="243">
        <v>285.76</v>
      </c>
      <c r="O88" s="243">
        <v>285.76</v>
      </c>
      <c r="P88" s="243">
        <v>285.76</v>
      </c>
      <c r="Q88" s="243">
        <v>285.76</v>
      </c>
      <c r="R88" s="243">
        <v>285.76</v>
      </c>
      <c r="S88" s="243">
        <v>285.76</v>
      </c>
      <c r="T88" s="243">
        <v>285.76</v>
      </c>
      <c r="U88" s="233">
        <f t="shared" si="59"/>
        <v>3388.2900000000009</v>
      </c>
      <c r="W88" s="240">
        <f t="shared" si="60"/>
        <v>2.602562876542029</v>
      </c>
      <c r="X88" s="240">
        <f t="shared" si="61"/>
        <v>2.602562876542029</v>
      </c>
      <c r="Y88" s="240">
        <f t="shared" si="62"/>
        <v>2.602562876542029</v>
      </c>
      <c r="Z88" s="240">
        <f t="shared" si="63"/>
        <v>2.7327149277995604</v>
      </c>
      <c r="AA88" s="240">
        <f t="shared" si="64"/>
        <v>2.7327149277995604</v>
      </c>
      <c r="AB88" s="240">
        <f t="shared" si="65"/>
        <v>2.7327149277995604</v>
      </c>
      <c r="AC88" s="240">
        <f t="shared" si="66"/>
        <v>2.7327149277995604</v>
      </c>
      <c r="AD88" s="240">
        <f t="shared" si="67"/>
        <v>2.7327149277995604</v>
      </c>
      <c r="AE88" s="240">
        <f t="shared" si="68"/>
        <v>2.7327149277995604</v>
      </c>
      <c r="AF88" s="240">
        <f t="shared" si="69"/>
        <v>2.7327149277995604</v>
      </c>
      <c r="AG88" s="240">
        <f t="shared" si="70"/>
        <v>2.7327149277995604</v>
      </c>
      <c r="AH88" s="240">
        <f t="shared" si="71"/>
        <v>2.7327149277995604</v>
      </c>
      <c r="AI88" s="256">
        <f>+IFERROR(AVERAGE(W88:AH88),0)</f>
        <v>2.7001769149851769</v>
      </c>
      <c r="AJ88" s="242">
        <f>+SUM(W88:AH88)</f>
        <v>32.402122979822124</v>
      </c>
      <c r="AK88" s="241"/>
      <c r="AM88" s="241">
        <v>2</v>
      </c>
      <c r="AN88" s="240">
        <f t="shared" si="79"/>
        <v>5.4003538299703537</v>
      </c>
      <c r="AO88" s="241">
        <v>0</v>
      </c>
      <c r="AP88" s="240">
        <f t="shared" si="79"/>
        <v>0</v>
      </c>
      <c r="AQ88" s="241">
        <v>0</v>
      </c>
      <c r="AR88" s="240">
        <f t="shared" si="57"/>
        <v>0</v>
      </c>
      <c r="AS88" s="241">
        <v>0</v>
      </c>
      <c r="AT88" s="240">
        <f t="shared" si="58"/>
        <v>0</v>
      </c>
    </row>
    <row r="89" spans="1:46" s="253" customFormat="1" x14ac:dyDescent="0.25">
      <c r="A89" s="253" t="str">
        <f t="shared" si="75"/>
        <v>allrecyclingCRY901X3</v>
      </c>
      <c r="B89" s="241" t="str">
        <f>"camas"&amp;"recycling"&amp;C89</f>
        <v>camasrecyclingCRY901X3</v>
      </c>
      <c r="C89" s="232" t="s">
        <v>493</v>
      </c>
      <c r="D89" s="232" t="s">
        <v>576</v>
      </c>
      <c r="E89" s="238">
        <v>127.58</v>
      </c>
      <c r="F89" s="238">
        <v>127.58</v>
      </c>
      <c r="G89" s="238">
        <v>127.58</v>
      </c>
      <c r="H89" s="261"/>
      <c r="I89" s="243">
        <v>0</v>
      </c>
      <c r="J89" s="243">
        <v>31.89</v>
      </c>
      <c r="K89" s="243">
        <v>127.58</v>
      </c>
      <c r="L89" s="243">
        <v>133.96</v>
      </c>
      <c r="M89" s="243">
        <v>133.96</v>
      </c>
      <c r="N89" s="243">
        <v>133.96</v>
      </c>
      <c r="O89" s="243">
        <v>133.96</v>
      </c>
      <c r="P89" s="243">
        <v>133.96</v>
      </c>
      <c r="Q89" s="243">
        <v>133.96</v>
      </c>
      <c r="R89" s="243">
        <v>133.96</v>
      </c>
      <c r="S89" s="243">
        <v>133.96</v>
      </c>
      <c r="T89" s="243">
        <v>133.96</v>
      </c>
      <c r="U89" s="233">
        <f>SUM(I89:T89)</f>
        <v>1365.1100000000001</v>
      </c>
      <c r="W89" s="240">
        <f t="shared" si="60"/>
        <v>0</v>
      </c>
      <c r="X89" s="240">
        <f t="shared" si="61"/>
        <v>0.24996080890421696</v>
      </c>
      <c r="Y89" s="240">
        <f t="shared" si="62"/>
        <v>1</v>
      </c>
      <c r="Z89" s="240">
        <f t="shared" si="63"/>
        <v>1.0500078382191567</v>
      </c>
      <c r="AA89" s="240">
        <f t="shared" si="64"/>
        <v>1.0500078382191567</v>
      </c>
      <c r="AB89" s="240">
        <f t="shared" si="65"/>
        <v>1.0500078382191567</v>
      </c>
      <c r="AC89" s="240">
        <f t="shared" si="66"/>
        <v>1.0500078382191567</v>
      </c>
      <c r="AD89" s="240">
        <f t="shared" si="67"/>
        <v>1.0500078382191567</v>
      </c>
      <c r="AE89" s="240">
        <f t="shared" si="68"/>
        <v>1.0500078382191567</v>
      </c>
      <c r="AF89" s="240">
        <f t="shared" si="69"/>
        <v>1.0500078382191567</v>
      </c>
      <c r="AG89" s="240">
        <f t="shared" si="70"/>
        <v>1.0500078382191567</v>
      </c>
      <c r="AH89" s="240">
        <f t="shared" si="71"/>
        <v>1.0500078382191567</v>
      </c>
      <c r="AI89" s="256">
        <f t="shared" si="72"/>
        <v>0.89166927940638574</v>
      </c>
      <c r="AJ89" s="242">
        <f t="shared" si="73"/>
        <v>10.700031352876628</v>
      </c>
      <c r="AK89" s="241"/>
      <c r="AM89" s="241">
        <v>2</v>
      </c>
      <c r="AN89" s="240">
        <f t="shared" ref="AN89:AN94" si="80">+$AI89*AM89</f>
        <v>1.7833385588127715</v>
      </c>
      <c r="AO89" s="241">
        <v>0</v>
      </c>
      <c r="AP89" s="240">
        <f t="shared" ref="AP89:AP94" si="81">+$AI89*AO89</f>
        <v>0</v>
      </c>
      <c r="AQ89" s="241">
        <v>0</v>
      </c>
      <c r="AR89" s="240">
        <f t="shared" si="57"/>
        <v>0</v>
      </c>
      <c r="AS89" s="241">
        <v>0</v>
      </c>
      <c r="AT89" s="240">
        <f t="shared" si="58"/>
        <v>0</v>
      </c>
    </row>
    <row r="90" spans="1:46" s="253" customFormat="1" x14ac:dyDescent="0.25">
      <c r="A90" s="253" t="str">
        <f t="shared" si="75"/>
        <v>allrecyclingCRY90EOW</v>
      </c>
      <c r="B90" s="241" t="str">
        <f t="shared" si="76"/>
        <v>camasrecyclingCRY90EOW</v>
      </c>
      <c r="C90" s="232" t="s">
        <v>492</v>
      </c>
      <c r="D90" s="232" t="s">
        <v>575</v>
      </c>
      <c r="E90" s="238">
        <v>47.739999999999995</v>
      </c>
      <c r="F90" s="238">
        <v>47.739999999999995</v>
      </c>
      <c r="G90" s="238">
        <v>47.739999999999995</v>
      </c>
      <c r="H90" s="261"/>
      <c r="I90" s="243">
        <v>620.62</v>
      </c>
      <c r="J90" s="243">
        <v>501.27</v>
      </c>
      <c r="K90" s="243">
        <v>572.88</v>
      </c>
      <c r="L90" s="243">
        <v>601.55999999999995</v>
      </c>
      <c r="M90" s="243">
        <v>551.42999999999995</v>
      </c>
      <c r="N90" s="243">
        <v>551.42999999999995</v>
      </c>
      <c r="O90" s="243">
        <v>350.91</v>
      </c>
      <c r="P90" s="243">
        <v>501.3</v>
      </c>
      <c r="Q90" s="243">
        <v>501.3</v>
      </c>
      <c r="R90" s="243">
        <v>501.3</v>
      </c>
      <c r="S90" s="243">
        <v>501.3</v>
      </c>
      <c r="T90" s="243">
        <v>501.3</v>
      </c>
      <c r="U90" s="233">
        <f t="shared" si="59"/>
        <v>6256.6</v>
      </c>
      <c r="W90" s="240">
        <f t="shared" si="60"/>
        <v>13.000000000000002</v>
      </c>
      <c r="X90" s="240">
        <f t="shared" si="61"/>
        <v>10.5</v>
      </c>
      <c r="Y90" s="240">
        <f t="shared" si="62"/>
        <v>12.000000000000002</v>
      </c>
      <c r="Z90" s="240">
        <f t="shared" si="63"/>
        <v>12.600754084625052</v>
      </c>
      <c r="AA90" s="240">
        <f t="shared" si="64"/>
        <v>11.550691244239632</v>
      </c>
      <c r="AB90" s="240">
        <f t="shared" si="65"/>
        <v>11.550691244239632</v>
      </c>
      <c r="AC90" s="240">
        <f t="shared" si="66"/>
        <v>7.3504398826979482</v>
      </c>
      <c r="AD90" s="240">
        <f t="shared" si="67"/>
        <v>10.500628403854211</v>
      </c>
      <c r="AE90" s="240">
        <f t="shared" si="68"/>
        <v>10.500628403854211</v>
      </c>
      <c r="AF90" s="240">
        <f t="shared" si="69"/>
        <v>10.500628403854211</v>
      </c>
      <c r="AG90" s="240">
        <f t="shared" si="70"/>
        <v>10.500628403854211</v>
      </c>
      <c r="AH90" s="240">
        <f t="shared" si="71"/>
        <v>10.500628403854211</v>
      </c>
      <c r="AI90" s="256">
        <f t="shared" si="72"/>
        <v>10.921309872922777</v>
      </c>
      <c r="AJ90" s="242">
        <f t="shared" si="73"/>
        <v>131.05571847507332</v>
      </c>
      <c r="AK90" s="241"/>
      <c r="AM90" s="241">
        <v>1</v>
      </c>
      <c r="AN90" s="240">
        <f t="shared" si="80"/>
        <v>10.921309872922777</v>
      </c>
      <c r="AO90" s="241">
        <v>0</v>
      </c>
      <c r="AP90" s="240">
        <f t="shared" si="81"/>
        <v>0</v>
      </c>
      <c r="AQ90" s="241">
        <v>0</v>
      </c>
      <c r="AR90" s="240">
        <f t="shared" si="57"/>
        <v>0</v>
      </c>
      <c r="AS90" s="241">
        <v>0</v>
      </c>
      <c r="AT90" s="240">
        <f t="shared" si="58"/>
        <v>0</v>
      </c>
    </row>
    <row r="91" spans="1:46" s="253" customFormat="1" x14ac:dyDescent="0.25">
      <c r="A91" s="253" t="str">
        <f t="shared" si="75"/>
        <v>allrecyclingCRY1YGLS1X</v>
      </c>
      <c r="B91" s="241" t="str">
        <f t="shared" si="76"/>
        <v>camasrecyclingCRY1YGLS1X</v>
      </c>
      <c r="C91" s="232" t="s">
        <v>1121</v>
      </c>
      <c r="D91" s="232" t="s">
        <v>1122</v>
      </c>
      <c r="E91" s="238">
        <v>87.21</v>
      </c>
      <c r="F91" s="238">
        <v>87.21</v>
      </c>
      <c r="G91" s="238">
        <v>87.21</v>
      </c>
      <c r="H91" s="261"/>
      <c r="I91" s="243">
        <v>174.42</v>
      </c>
      <c r="J91" s="243">
        <v>174.42</v>
      </c>
      <c r="K91" s="243">
        <v>174.42</v>
      </c>
      <c r="L91" s="243">
        <v>183.14</v>
      </c>
      <c r="M91" s="243">
        <v>183.14</v>
      </c>
      <c r="N91" s="243">
        <v>183.14</v>
      </c>
      <c r="O91" s="243">
        <v>183.14</v>
      </c>
      <c r="P91" s="243">
        <v>183.14</v>
      </c>
      <c r="Q91" s="243">
        <v>183.14</v>
      </c>
      <c r="R91" s="243">
        <v>183.14</v>
      </c>
      <c r="S91" s="243">
        <v>183.14</v>
      </c>
      <c r="T91" s="243">
        <v>183.14</v>
      </c>
      <c r="U91" s="233">
        <f>SUM(I91:T91)</f>
        <v>2171.5199999999991</v>
      </c>
      <c r="W91" s="240">
        <f t="shared" si="60"/>
        <v>2</v>
      </c>
      <c r="X91" s="240">
        <f t="shared" si="61"/>
        <v>2</v>
      </c>
      <c r="Y91" s="240">
        <f t="shared" si="62"/>
        <v>2</v>
      </c>
      <c r="Z91" s="240">
        <f t="shared" si="63"/>
        <v>2.0999885334250661</v>
      </c>
      <c r="AA91" s="240">
        <f t="shared" si="64"/>
        <v>2.0999885334250661</v>
      </c>
      <c r="AB91" s="240">
        <f t="shared" si="65"/>
        <v>2.0999885334250661</v>
      </c>
      <c r="AC91" s="240">
        <f t="shared" si="66"/>
        <v>2.0999885334250661</v>
      </c>
      <c r="AD91" s="240">
        <f t="shared" si="67"/>
        <v>2.0999885334250661</v>
      </c>
      <c r="AE91" s="240">
        <f t="shared" si="68"/>
        <v>2.0999885334250661</v>
      </c>
      <c r="AF91" s="240">
        <f t="shared" si="69"/>
        <v>2.0999885334250661</v>
      </c>
      <c r="AG91" s="240">
        <f t="shared" si="70"/>
        <v>2.0999885334250661</v>
      </c>
      <c r="AH91" s="240">
        <f t="shared" si="71"/>
        <v>2.0999885334250661</v>
      </c>
      <c r="AI91" s="256">
        <f t="shared" si="72"/>
        <v>2.0749914000687992</v>
      </c>
      <c r="AJ91" s="242">
        <f t="shared" si="73"/>
        <v>24.899896800825591</v>
      </c>
      <c r="AK91" s="241"/>
      <c r="AM91" s="241">
        <v>0</v>
      </c>
      <c r="AN91" s="240">
        <f t="shared" si="80"/>
        <v>0</v>
      </c>
      <c r="AO91" s="241">
        <v>1</v>
      </c>
      <c r="AP91" s="240">
        <f t="shared" si="81"/>
        <v>2.0749914000687992</v>
      </c>
      <c r="AQ91" s="241">
        <v>0</v>
      </c>
      <c r="AR91" s="240">
        <f t="shared" si="57"/>
        <v>0</v>
      </c>
      <c r="AS91" s="241">
        <v>0</v>
      </c>
      <c r="AT91" s="240">
        <f t="shared" si="58"/>
        <v>0</v>
      </c>
    </row>
    <row r="92" spans="1:46" s="253" customFormat="1" x14ac:dyDescent="0.25">
      <c r="A92" s="253" t="str">
        <f t="shared" si="75"/>
        <v>allrecyclingCRY90EOW2</v>
      </c>
      <c r="B92" s="241" t="str">
        <f t="shared" si="76"/>
        <v>camasrecyclingCRY90EOW2</v>
      </c>
      <c r="C92" s="232" t="s">
        <v>495</v>
      </c>
      <c r="D92" s="232" t="s">
        <v>578</v>
      </c>
      <c r="E92" s="238">
        <v>59.13</v>
      </c>
      <c r="F92" s="238">
        <v>59.13</v>
      </c>
      <c r="G92" s="238">
        <v>59.13</v>
      </c>
      <c r="H92" s="261"/>
      <c r="I92" s="243">
        <v>59.13</v>
      </c>
      <c r="J92" s="243">
        <v>59.13</v>
      </c>
      <c r="K92" s="243">
        <v>59.13</v>
      </c>
      <c r="L92" s="243">
        <v>62.09</v>
      </c>
      <c r="M92" s="243">
        <v>62.09</v>
      </c>
      <c r="N92" s="243">
        <v>62.09</v>
      </c>
      <c r="O92" s="243">
        <v>62.09</v>
      </c>
      <c r="P92" s="243">
        <v>62.09</v>
      </c>
      <c r="Q92" s="243">
        <v>62.09</v>
      </c>
      <c r="R92" s="243">
        <v>62.09</v>
      </c>
      <c r="S92" s="243">
        <v>62.09</v>
      </c>
      <c r="T92" s="243">
        <v>62.09</v>
      </c>
      <c r="U92" s="233">
        <f t="shared" si="59"/>
        <v>736.20000000000027</v>
      </c>
      <c r="W92" s="240">
        <f t="shared" si="60"/>
        <v>1</v>
      </c>
      <c r="X92" s="240">
        <f t="shared" si="61"/>
        <v>1</v>
      </c>
      <c r="Y92" s="240">
        <f t="shared" si="62"/>
        <v>1</v>
      </c>
      <c r="Z92" s="240">
        <f t="shared" si="63"/>
        <v>1.050059191611703</v>
      </c>
      <c r="AA92" s="240">
        <f t="shared" si="64"/>
        <v>1.050059191611703</v>
      </c>
      <c r="AB92" s="240">
        <f t="shared" si="65"/>
        <v>1.050059191611703</v>
      </c>
      <c r="AC92" s="240">
        <f t="shared" si="66"/>
        <v>1.050059191611703</v>
      </c>
      <c r="AD92" s="240">
        <f t="shared" si="67"/>
        <v>1.050059191611703</v>
      </c>
      <c r="AE92" s="240">
        <f t="shared" si="68"/>
        <v>1.050059191611703</v>
      </c>
      <c r="AF92" s="240">
        <f t="shared" si="69"/>
        <v>1.050059191611703</v>
      </c>
      <c r="AG92" s="240">
        <f t="shared" si="70"/>
        <v>1.050059191611703</v>
      </c>
      <c r="AH92" s="240">
        <f t="shared" si="71"/>
        <v>1.050059191611703</v>
      </c>
      <c r="AI92" s="256">
        <f t="shared" si="72"/>
        <v>1.0375443937087776</v>
      </c>
      <c r="AJ92" s="242">
        <f t="shared" si="73"/>
        <v>12.450532724505331</v>
      </c>
      <c r="AK92" s="241"/>
      <c r="AM92" s="241">
        <v>1</v>
      </c>
      <c r="AN92" s="240">
        <f t="shared" si="80"/>
        <v>1.0375443937087776</v>
      </c>
      <c r="AO92" s="241">
        <v>0</v>
      </c>
      <c r="AP92" s="240">
        <f t="shared" si="81"/>
        <v>0</v>
      </c>
      <c r="AQ92" s="241">
        <v>0</v>
      </c>
      <c r="AR92" s="240">
        <f t="shared" si="57"/>
        <v>0</v>
      </c>
      <c r="AS92" s="241">
        <v>0</v>
      </c>
      <c r="AT92" s="240">
        <f t="shared" si="58"/>
        <v>0</v>
      </c>
    </row>
    <row r="93" spans="1:46" s="253" customFormat="1" x14ac:dyDescent="0.25">
      <c r="A93" s="253" t="str">
        <f t="shared" si="75"/>
        <v>allrecyclingCRYGLASS1X</v>
      </c>
      <c r="B93" s="241" t="str">
        <f t="shared" si="76"/>
        <v>camasrecyclingCRYGLASS1X</v>
      </c>
      <c r="C93" s="232" t="s">
        <v>497</v>
      </c>
      <c r="D93" s="232" t="s">
        <v>580</v>
      </c>
      <c r="E93" s="238">
        <v>31.83</v>
      </c>
      <c r="F93" s="238">
        <v>31.83</v>
      </c>
      <c r="G93" s="238">
        <v>31.83</v>
      </c>
      <c r="H93" s="261"/>
      <c r="I93" s="243">
        <v>508.06</v>
      </c>
      <c r="J93" s="243">
        <v>508.06</v>
      </c>
      <c r="K93" s="243">
        <v>571.72</v>
      </c>
      <c r="L93" s="243">
        <v>600.28</v>
      </c>
      <c r="M93" s="243">
        <v>601.55999999999995</v>
      </c>
      <c r="N93" s="243">
        <v>601.55999999999995</v>
      </c>
      <c r="O93" s="243">
        <v>601.55999999999995</v>
      </c>
      <c r="P93" s="243">
        <v>551.42999999999995</v>
      </c>
      <c r="Q93" s="243">
        <v>568.14</v>
      </c>
      <c r="R93" s="243">
        <v>568.14</v>
      </c>
      <c r="S93" s="243">
        <v>568.14</v>
      </c>
      <c r="T93" s="243">
        <v>568.14</v>
      </c>
      <c r="U93" s="233">
        <f t="shared" si="59"/>
        <v>6816.7900000000009</v>
      </c>
      <c r="W93" s="240">
        <f t="shared" si="60"/>
        <v>15.961671379202011</v>
      </c>
      <c r="X93" s="240">
        <f t="shared" si="61"/>
        <v>15.961671379202011</v>
      </c>
      <c r="Y93" s="240">
        <f t="shared" si="62"/>
        <v>17.961671379202013</v>
      </c>
      <c r="Z93" s="240">
        <f t="shared" si="63"/>
        <v>18.858938108702482</v>
      </c>
      <c r="AA93" s="240">
        <f t="shared" si="64"/>
        <v>18.899151743638075</v>
      </c>
      <c r="AB93" s="240">
        <f t="shared" si="65"/>
        <v>18.899151743638075</v>
      </c>
      <c r="AC93" s="240">
        <f t="shared" si="66"/>
        <v>18.899151743638075</v>
      </c>
      <c r="AD93" s="240">
        <f t="shared" si="67"/>
        <v>17.324222431668236</v>
      </c>
      <c r="AE93" s="240">
        <f t="shared" si="68"/>
        <v>17.849198868991518</v>
      </c>
      <c r="AF93" s="240">
        <f t="shared" si="69"/>
        <v>17.849198868991518</v>
      </c>
      <c r="AG93" s="240">
        <f t="shared" si="70"/>
        <v>17.849198868991518</v>
      </c>
      <c r="AH93" s="240">
        <f t="shared" si="71"/>
        <v>17.849198868991518</v>
      </c>
      <c r="AI93" s="256">
        <f t="shared" si="72"/>
        <v>17.846868782071422</v>
      </c>
      <c r="AJ93" s="242">
        <f t="shared" si="73"/>
        <v>214.16242538485704</v>
      </c>
      <c r="AK93" s="241"/>
      <c r="AM93" s="241">
        <v>1</v>
      </c>
      <c r="AN93" s="240">
        <f t="shared" si="80"/>
        <v>17.846868782071422</v>
      </c>
      <c r="AO93" s="241">
        <v>0</v>
      </c>
      <c r="AP93" s="240">
        <f t="shared" si="81"/>
        <v>0</v>
      </c>
      <c r="AQ93" s="241">
        <v>0</v>
      </c>
      <c r="AR93" s="240">
        <f t="shared" si="57"/>
        <v>0</v>
      </c>
      <c r="AS93" s="241">
        <v>0</v>
      </c>
      <c r="AT93" s="240">
        <f t="shared" si="58"/>
        <v>0</v>
      </c>
    </row>
    <row r="94" spans="1:46" s="253" customFormat="1" x14ac:dyDescent="0.25">
      <c r="A94" s="253" t="str">
        <f>"food"&amp;"recycling"&amp;C94</f>
        <v>foodrecyclingCFR65G1X</v>
      </c>
      <c r="B94" s="241" t="str">
        <f>"camas"&amp;"recycling"&amp;C94</f>
        <v>camasrecyclingCFR65G1X</v>
      </c>
      <c r="C94" s="232" t="s">
        <v>488</v>
      </c>
      <c r="D94" s="232" t="s">
        <v>571</v>
      </c>
      <c r="E94" s="238">
        <v>34.01</v>
      </c>
      <c r="F94" s="238">
        <v>34.01</v>
      </c>
      <c r="G94" s="238">
        <v>34.01</v>
      </c>
      <c r="H94" s="261"/>
      <c r="I94" s="243">
        <v>245.43</v>
      </c>
      <c r="J94" s="243">
        <v>330.43</v>
      </c>
      <c r="K94" s="243">
        <v>313.45</v>
      </c>
      <c r="L94" s="243">
        <v>329.11</v>
      </c>
      <c r="M94" s="243">
        <v>329.11</v>
      </c>
      <c r="N94" s="243">
        <v>329.11</v>
      </c>
      <c r="O94" s="243">
        <v>329.11</v>
      </c>
      <c r="P94" s="243">
        <v>329.11</v>
      </c>
      <c r="Q94" s="243">
        <v>329.11</v>
      </c>
      <c r="R94" s="243">
        <v>311.26</v>
      </c>
      <c r="S94" s="243">
        <v>322.73</v>
      </c>
      <c r="T94" s="243">
        <v>304.87</v>
      </c>
      <c r="U94" s="233">
        <f>SUM(I94:T94)</f>
        <v>3802.8300000000004</v>
      </c>
      <c r="W94" s="240">
        <f t="shared" si="60"/>
        <v>7.216406939135549</v>
      </c>
      <c r="X94" s="240">
        <f t="shared" si="61"/>
        <v>9.7156718612172899</v>
      </c>
      <c r="Y94" s="240">
        <f t="shared" si="62"/>
        <v>9.216406939135549</v>
      </c>
      <c r="Z94" s="240">
        <f t="shared" si="63"/>
        <v>9.6768597471331965</v>
      </c>
      <c r="AA94" s="240">
        <f t="shared" si="64"/>
        <v>9.6768597471331965</v>
      </c>
      <c r="AB94" s="240">
        <f t="shared" si="65"/>
        <v>9.6768597471331965</v>
      </c>
      <c r="AC94" s="240">
        <f t="shared" si="66"/>
        <v>9.6768597471331965</v>
      </c>
      <c r="AD94" s="240">
        <f t="shared" si="67"/>
        <v>9.6768597471331965</v>
      </c>
      <c r="AE94" s="240">
        <f t="shared" si="68"/>
        <v>9.6768597471331965</v>
      </c>
      <c r="AF94" s="240">
        <f t="shared" si="69"/>
        <v>9.1520141134960316</v>
      </c>
      <c r="AG94" s="240">
        <f t="shared" si="70"/>
        <v>9.4892678623934152</v>
      </c>
      <c r="AH94" s="240">
        <f t="shared" si="71"/>
        <v>8.9641281975889449</v>
      </c>
      <c r="AI94" s="256">
        <f t="shared" si="72"/>
        <v>9.3179211996471629</v>
      </c>
      <c r="AJ94" s="242">
        <f t="shared" si="73"/>
        <v>111.81505439576596</v>
      </c>
      <c r="AK94" s="241"/>
      <c r="AM94" s="241">
        <v>1</v>
      </c>
      <c r="AN94" s="240">
        <f t="shared" si="80"/>
        <v>9.3179211996471629</v>
      </c>
      <c r="AO94" s="241">
        <v>0</v>
      </c>
      <c r="AP94" s="240">
        <f t="shared" si="81"/>
        <v>0</v>
      </c>
      <c r="AQ94" s="241">
        <v>0</v>
      </c>
      <c r="AR94" s="240">
        <f t="shared" si="57"/>
        <v>0</v>
      </c>
      <c r="AS94" s="241">
        <v>0</v>
      </c>
      <c r="AT94" s="240">
        <f t="shared" si="58"/>
        <v>0</v>
      </c>
    </row>
    <row r="95" spans="1:46" s="253" customFormat="1" x14ac:dyDescent="0.25">
      <c r="A95" s="253" t="str">
        <f>"Schools"&amp;"recycling"&amp;C95</f>
        <v>SchoolsrecyclingCOMREC</v>
      </c>
      <c r="B95" s="241" t="str">
        <f>"camas"&amp;"recycling"&amp;C95</f>
        <v>camasrecyclingCOMREC</v>
      </c>
      <c r="C95" s="232" t="s">
        <v>525</v>
      </c>
      <c r="D95" s="232" t="s">
        <v>605</v>
      </c>
      <c r="E95" s="238">
        <v>76.38</v>
      </c>
      <c r="F95" s="238">
        <v>76.38</v>
      </c>
      <c r="G95" s="238">
        <v>76.38</v>
      </c>
      <c r="H95" s="261"/>
      <c r="I95" s="243">
        <v>2576.04</v>
      </c>
      <c r="J95" s="243">
        <v>2526.21</v>
      </c>
      <c r="K95" s="243">
        <v>3217.75</v>
      </c>
      <c r="L95" s="243">
        <v>2576.04</v>
      </c>
      <c r="M95" s="243">
        <v>2576.04</v>
      </c>
      <c r="N95" s="243">
        <v>2576.04</v>
      </c>
      <c r="O95" s="243">
        <v>2546.2600000000002</v>
      </c>
      <c r="P95" s="243">
        <v>2516.48</v>
      </c>
      <c r="Q95" s="243">
        <v>2516.48</v>
      </c>
      <c r="R95" s="243">
        <v>2516.48</v>
      </c>
      <c r="S95" s="243">
        <v>2516.48</v>
      </c>
      <c r="T95" s="243">
        <v>2516.48</v>
      </c>
      <c r="U95" s="233">
        <f>SUM(I95:T95)</f>
        <v>31176.780000000002</v>
      </c>
      <c r="W95" s="240">
        <f t="shared" si="60"/>
        <v>33.726630007855462</v>
      </c>
      <c r="X95" s="240">
        <f t="shared" si="61"/>
        <v>33.074234092694425</v>
      </c>
      <c r="Y95" s="240">
        <f t="shared" si="62"/>
        <v>42.128174914899191</v>
      </c>
      <c r="Z95" s="240">
        <f t="shared" si="63"/>
        <v>33.726630007855462</v>
      </c>
      <c r="AA95" s="240">
        <f t="shared" si="64"/>
        <v>33.726630007855462</v>
      </c>
      <c r="AB95" s="240">
        <f t="shared" si="65"/>
        <v>33.726630007855462</v>
      </c>
      <c r="AC95" s="240">
        <f t="shared" si="66"/>
        <v>33.33673736580257</v>
      </c>
      <c r="AD95" s="240">
        <f t="shared" si="67"/>
        <v>32.946844723749678</v>
      </c>
      <c r="AE95" s="240">
        <f t="shared" si="68"/>
        <v>32.946844723749678</v>
      </c>
      <c r="AF95" s="240">
        <f t="shared" si="69"/>
        <v>32.946844723749678</v>
      </c>
      <c r="AG95" s="240">
        <f t="shared" si="70"/>
        <v>32.946844723749678</v>
      </c>
      <c r="AH95" s="240">
        <f t="shared" si="71"/>
        <v>32.946844723749678</v>
      </c>
      <c r="AI95" s="256">
        <f t="shared" si="72"/>
        <v>34.014990835297205</v>
      </c>
      <c r="AJ95" s="242">
        <f t="shared" si="73"/>
        <v>408.17989002356649</v>
      </c>
      <c r="AK95" s="241"/>
      <c r="AM95" s="241"/>
      <c r="AO95" s="241"/>
      <c r="AQ95" s="241"/>
      <c r="AS95" s="241"/>
    </row>
    <row r="96" spans="1:46" s="45" customFormat="1" x14ac:dyDescent="0.25">
      <c r="A96" s="45" t="str">
        <f>"all"&amp;"recycling"&amp;C96</f>
        <v>allrecycling0CRYEX90</v>
      </c>
      <c r="B96" s="1" t="str">
        <f>"camas"&amp;"recycling"&amp;C96</f>
        <v>camasrecycling0CRYEX90</v>
      </c>
      <c r="C96" s="58" t="s">
        <v>500</v>
      </c>
      <c r="D96" s="58" t="s">
        <v>582</v>
      </c>
      <c r="E96" s="11">
        <v>24.9</v>
      </c>
      <c r="F96" s="11">
        <v>24.9</v>
      </c>
      <c r="G96" s="11">
        <v>24.9</v>
      </c>
      <c r="H96" s="55"/>
      <c r="I96" s="14">
        <v>24.9</v>
      </c>
      <c r="J96" s="14">
        <v>0</v>
      </c>
      <c r="K96" s="14">
        <v>0</v>
      </c>
      <c r="L96" s="14">
        <v>26.15</v>
      </c>
      <c r="M96" s="14">
        <v>0</v>
      </c>
      <c r="N96" s="14">
        <v>0</v>
      </c>
      <c r="O96" s="14">
        <v>0</v>
      </c>
      <c r="P96" s="14">
        <v>0</v>
      </c>
      <c r="Q96" s="14">
        <v>26.15</v>
      </c>
      <c r="R96" s="14">
        <v>0</v>
      </c>
      <c r="S96" s="14">
        <v>0</v>
      </c>
      <c r="T96" s="14">
        <v>0</v>
      </c>
      <c r="U96" s="12">
        <f>SUM(I96:T96)</f>
        <v>77.199999999999989</v>
      </c>
      <c r="W96" s="13">
        <f t="shared" si="60"/>
        <v>1</v>
      </c>
      <c r="X96" s="13">
        <f t="shared" si="61"/>
        <v>0</v>
      </c>
      <c r="Y96" s="13">
        <f t="shared" si="62"/>
        <v>0</v>
      </c>
      <c r="Z96" s="13">
        <f t="shared" si="63"/>
        <v>1.0502008032128514</v>
      </c>
      <c r="AA96" s="13">
        <f t="shared" si="64"/>
        <v>0</v>
      </c>
      <c r="AB96" s="13">
        <f t="shared" si="65"/>
        <v>0</v>
      </c>
      <c r="AC96" s="13">
        <f t="shared" si="66"/>
        <v>0</v>
      </c>
      <c r="AD96" s="13">
        <f t="shared" si="67"/>
        <v>0</v>
      </c>
      <c r="AE96" s="13">
        <f t="shared" si="68"/>
        <v>1.0502008032128514</v>
      </c>
      <c r="AF96" s="13">
        <f t="shared" si="69"/>
        <v>0</v>
      </c>
      <c r="AG96" s="13">
        <f t="shared" si="70"/>
        <v>0</v>
      </c>
      <c r="AH96" s="13">
        <f t="shared" si="71"/>
        <v>0</v>
      </c>
      <c r="AI96" s="94">
        <f>+IFERROR(AVERAGE(W96:AH96),0)</f>
        <v>0.25836680053547517</v>
      </c>
      <c r="AJ96" s="15">
        <f>+SUM(W96:AH96)</f>
        <v>3.1004016064257023</v>
      </c>
      <c r="AK96" s="1"/>
      <c r="AM96" s="1"/>
      <c r="AO96" s="1"/>
      <c r="AQ96" s="1"/>
      <c r="AS96" s="1"/>
    </row>
    <row r="97" spans="1:45" s="45" customFormat="1" x14ac:dyDescent="0.25">
      <c r="A97" s="45" t="str">
        <f>"all"&amp;"recycling"&amp;C97</f>
        <v>allrecycling0CRYEX3YD</v>
      </c>
      <c r="B97" s="1" t="str">
        <f>"camas"&amp;"recycling"&amp;C97</f>
        <v>camasrecycling0CRYEX3YD</v>
      </c>
      <c r="C97" s="58" t="s">
        <v>503</v>
      </c>
      <c r="D97" s="58" t="s">
        <v>585</v>
      </c>
      <c r="E97" s="11">
        <v>40.68</v>
      </c>
      <c r="F97" s="11">
        <v>40.68</v>
      </c>
      <c r="G97" s="11">
        <v>40.68</v>
      </c>
      <c r="H97" s="55"/>
      <c r="I97" s="14">
        <v>81.36</v>
      </c>
      <c r="J97" s="14">
        <v>0</v>
      </c>
      <c r="K97" s="14">
        <v>81.36</v>
      </c>
      <c r="L97" s="14">
        <v>83.39</v>
      </c>
      <c r="M97" s="14">
        <v>128.13</v>
      </c>
      <c r="N97" s="14">
        <v>42.71</v>
      </c>
      <c r="O97" s="14">
        <v>42.71</v>
      </c>
      <c r="P97" s="14">
        <v>0</v>
      </c>
      <c r="Q97" s="14">
        <v>85.42</v>
      </c>
      <c r="R97" s="14">
        <v>42.71</v>
      </c>
      <c r="S97" s="14">
        <v>85.42</v>
      </c>
      <c r="T97" s="14">
        <v>0</v>
      </c>
      <c r="U97" s="12">
        <f>SUM(I97:T97)</f>
        <v>673.20999999999992</v>
      </c>
      <c r="W97" s="13">
        <f t="shared" si="60"/>
        <v>2</v>
      </c>
      <c r="X97" s="13">
        <f t="shared" si="61"/>
        <v>0</v>
      </c>
      <c r="Y97" s="13">
        <f t="shared" si="62"/>
        <v>2</v>
      </c>
      <c r="Z97" s="13">
        <f t="shared" si="63"/>
        <v>2.0499016715830876</v>
      </c>
      <c r="AA97" s="13">
        <f t="shared" si="64"/>
        <v>3.1497050147492622</v>
      </c>
      <c r="AB97" s="13">
        <f t="shared" si="65"/>
        <v>1.0499016715830876</v>
      </c>
      <c r="AC97" s="13">
        <f t="shared" si="66"/>
        <v>1.0499016715830876</v>
      </c>
      <c r="AD97" s="13">
        <f t="shared" si="67"/>
        <v>0</v>
      </c>
      <c r="AE97" s="13">
        <f t="shared" si="68"/>
        <v>2.0998033431661751</v>
      </c>
      <c r="AF97" s="13">
        <f t="shared" si="69"/>
        <v>1.0499016715830876</v>
      </c>
      <c r="AG97" s="13">
        <f t="shared" si="70"/>
        <v>2.0998033431661751</v>
      </c>
      <c r="AH97" s="13">
        <f t="shared" si="71"/>
        <v>0</v>
      </c>
      <c r="AI97" s="94">
        <f>+IFERROR(AVERAGE(W97:AH97),0)</f>
        <v>1.3790765322844969</v>
      </c>
      <c r="AJ97" s="15">
        <f>+SUM(W97:AH97)</f>
        <v>16.548918387413963</v>
      </c>
      <c r="AK97" s="1"/>
      <c r="AM97" s="1"/>
      <c r="AO97" s="1"/>
      <c r="AQ97" s="1"/>
      <c r="AS97" s="1"/>
    </row>
    <row r="98" spans="1:45" s="45" customFormat="1" x14ac:dyDescent="0.25">
      <c r="A98" s="45" t="str">
        <f t="shared" si="75"/>
        <v>allrecycling0CRYEX1.5YD</v>
      </c>
      <c r="B98" s="1" t="str">
        <f t="shared" si="76"/>
        <v>camasrecycling0CRYEX1.5YD</v>
      </c>
      <c r="C98" s="58" t="s">
        <v>499</v>
      </c>
      <c r="D98" s="58" t="s">
        <v>581</v>
      </c>
      <c r="E98" s="11">
        <v>33.18</v>
      </c>
      <c r="F98" s="11">
        <v>33.18</v>
      </c>
      <c r="G98" s="11">
        <v>33.18</v>
      </c>
      <c r="H98" s="55"/>
      <c r="I98" s="14">
        <v>0</v>
      </c>
      <c r="J98" s="14">
        <v>0</v>
      </c>
      <c r="K98" s="14">
        <v>33.18</v>
      </c>
      <c r="L98" s="14">
        <v>0</v>
      </c>
      <c r="M98" s="14">
        <v>0</v>
      </c>
      <c r="N98" s="14">
        <v>0</v>
      </c>
      <c r="O98" s="14">
        <v>0</v>
      </c>
      <c r="P98" s="14">
        <v>0</v>
      </c>
      <c r="Q98" s="14">
        <v>34.840000000000003</v>
      </c>
      <c r="R98" s="14">
        <v>34.840000000000003</v>
      </c>
      <c r="S98" s="14">
        <v>0</v>
      </c>
      <c r="T98" s="14">
        <v>34.840000000000003</v>
      </c>
      <c r="U98" s="12">
        <f t="shared" si="59"/>
        <v>137.70000000000002</v>
      </c>
      <c r="W98" s="13">
        <f t="shared" si="60"/>
        <v>0</v>
      </c>
      <c r="X98" s="13">
        <f t="shared" si="61"/>
        <v>0</v>
      </c>
      <c r="Y98" s="13">
        <f t="shared" si="62"/>
        <v>1</v>
      </c>
      <c r="Z98" s="13">
        <f t="shared" si="63"/>
        <v>0</v>
      </c>
      <c r="AA98" s="13">
        <f t="shared" si="64"/>
        <v>0</v>
      </c>
      <c r="AB98" s="13">
        <f t="shared" si="65"/>
        <v>0</v>
      </c>
      <c r="AC98" s="13">
        <f t="shared" si="66"/>
        <v>0</v>
      </c>
      <c r="AD98" s="13">
        <f t="shared" si="67"/>
        <v>0</v>
      </c>
      <c r="AE98" s="13">
        <f t="shared" si="68"/>
        <v>1.0500301386377338</v>
      </c>
      <c r="AF98" s="13">
        <f t="shared" si="69"/>
        <v>1.0500301386377338</v>
      </c>
      <c r="AG98" s="13">
        <f t="shared" si="70"/>
        <v>0</v>
      </c>
      <c r="AH98" s="13">
        <f t="shared" si="71"/>
        <v>1.0500301386377338</v>
      </c>
      <c r="AI98" s="94">
        <f t="shared" si="72"/>
        <v>0.34584086799276675</v>
      </c>
      <c r="AJ98" s="15">
        <f t="shared" si="73"/>
        <v>4.1500904159132013</v>
      </c>
      <c r="AK98" s="1"/>
      <c r="AM98" s="1"/>
      <c r="AO98" s="1"/>
      <c r="AQ98" s="1"/>
      <c r="AS98" s="1"/>
    </row>
    <row r="99" spans="1:45" s="45" customFormat="1" x14ac:dyDescent="0.25">
      <c r="A99" s="45" t="str">
        <f t="shared" si="75"/>
        <v>allrecyclingCRYEXC</v>
      </c>
      <c r="B99" s="1" t="str">
        <f t="shared" si="76"/>
        <v>camasrecyclingCRYEXC</v>
      </c>
      <c r="C99" s="58" t="s">
        <v>519</v>
      </c>
      <c r="D99" s="58" t="s">
        <v>600</v>
      </c>
      <c r="E99" s="11">
        <v>29.77</v>
      </c>
      <c r="F99" s="11">
        <v>29.77</v>
      </c>
      <c r="G99" s="11">
        <v>29.77</v>
      </c>
      <c r="H99" s="55"/>
      <c r="I99" s="14">
        <v>119.08</v>
      </c>
      <c r="J99" s="14">
        <v>416.78</v>
      </c>
      <c r="K99" s="14">
        <v>208.39</v>
      </c>
      <c r="L99" s="14">
        <v>0</v>
      </c>
      <c r="M99" s="14">
        <v>31.26</v>
      </c>
      <c r="N99" s="14">
        <v>0</v>
      </c>
      <c r="O99" s="14">
        <v>0</v>
      </c>
      <c r="P99" s="14">
        <v>0</v>
      </c>
      <c r="Q99" s="14">
        <v>0</v>
      </c>
      <c r="R99" s="14">
        <v>0</v>
      </c>
      <c r="S99" s="14">
        <v>62.52</v>
      </c>
      <c r="T99" s="14">
        <v>0</v>
      </c>
      <c r="U99" s="12">
        <f t="shared" si="59"/>
        <v>838.03</v>
      </c>
      <c r="W99" s="13">
        <f t="shared" si="60"/>
        <v>4</v>
      </c>
      <c r="X99" s="13">
        <f t="shared" si="61"/>
        <v>14</v>
      </c>
      <c r="Y99" s="13">
        <f t="shared" si="62"/>
        <v>7</v>
      </c>
      <c r="Z99" s="13">
        <f t="shared" si="63"/>
        <v>0</v>
      </c>
      <c r="AA99" s="13">
        <f t="shared" si="64"/>
        <v>1.0500503862949278</v>
      </c>
      <c r="AB99" s="13">
        <f t="shared" si="65"/>
        <v>0</v>
      </c>
      <c r="AC99" s="13">
        <f t="shared" si="66"/>
        <v>0</v>
      </c>
      <c r="AD99" s="13">
        <f t="shared" si="67"/>
        <v>0</v>
      </c>
      <c r="AE99" s="13">
        <f t="shared" si="68"/>
        <v>0</v>
      </c>
      <c r="AF99" s="13">
        <f t="shared" si="69"/>
        <v>0</v>
      </c>
      <c r="AG99" s="13">
        <f t="shared" si="70"/>
        <v>2.1001007725898555</v>
      </c>
      <c r="AH99" s="13">
        <f t="shared" si="71"/>
        <v>0</v>
      </c>
      <c r="AI99" s="94">
        <f t="shared" si="72"/>
        <v>2.3458459299070653</v>
      </c>
      <c r="AJ99" s="15">
        <f t="shared" si="73"/>
        <v>28.150151158884782</v>
      </c>
      <c r="AK99" s="1"/>
      <c r="AM99" s="1"/>
      <c r="AO99" s="1"/>
      <c r="AQ99" s="1"/>
      <c r="AS99" s="1"/>
    </row>
    <row r="100" spans="1:45" s="45" customFormat="1" x14ac:dyDescent="0.25">
      <c r="A100" s="45" t="str">
        <f>"Schools"&amp;"recycling"&amp;C100</f>
        <v>SchoolsrecyclingSCHX</v>
      </c>
      <c r="B100" s="1" t="str">
        <f>"camas"&amp;"recycling"&amp;C100</f>
        <v>camasrecyclingSCHX</v>
      </c>
      <c r="C100" s="58" t="s">
        <v>1026</v>
      </c>
      <c r="D100" s="58" t="s">
        <v>1027</v>
      </c>
      <c r="E100" s="11">
        <v>10.9</v>
      </c>
      <c r="F100" s="11">
        <v>10.9</v>
      </c>
      <c r="G100" s="11">
        <v>10.9</v>
      </c>
      <c r="H100" s="55"/>
      <c r="I100" s="14">
        <v>0</v>
      </c>
      <c r="J100" s="14">
        <v>0</v>
      </c>
      <c r="K100" s="14">
        <v>0</v>
      </c>
      <c r="L100" s="14">
        <v>0</v>
      </c>
      <c r="M100" s="14">
        <v>0</v>
      </c>
      <c r="N100" s="14">
        <v>0</v>
      </c>
      <c r="O100" s="14">
        <v>0</v>
      </c>
      <c r="P100" s="14">
        <v>0</v>
      </c>
      <c r="Q100" s="14">
        <v>0</v>
      </c>
      <c r="R100" s="14">
        <v>0</v>
      </c>
      <c r="S100" s="14">
        <v>0</v>
      </c>
      <c r="T100" s="14">
        <v>0</v>
      </c>
      <c r="U100" s="12">
        <f>SUM(I100:T100)</f>
        <v>0</v>
      </c>
      <c r="W100" s="13">
        <f t="shared" si="60"/>
        <v>0</v>
      </c>
      <c r="X100" s="13">
        <f t="shared" si="61"/>
        <v>0</v>
      </c>
      <c r="Y100" s="13">
        <f t="shared" si="62"/>
        <v>0</v>
      </c>
      <c r="Z100" s="13">
        <f t="shared" si="63"/>
        <v>0</v>
      </c>
      <c r="AA100" s="13">
        <f t="shared" si="64"/>
        <v>0</v>
      </c>
      <c r="AB100" s="13">
        <f t="shared" si="65"/>
        <v>0</v>
      </c>
      <c r="AC100" s="13">
        <f t="shared" si="66"/>
        <v>0</v>
      </c>
      <c r="AD100" s="13">
        <f t="shared" si="67"/>
        <v>0</v>
      </c>
      <c r="AE100" s="13">
        <f t="shared" si="68"/>
        <v>0</v>
      </c>
      <c r="AF100" s="13">
        <f t="shared" si="69"/>
        <v>0</v>
      </c>
      <c r="AG100" s="13">
        <f t="shared" si="70"/>
        <v>0</v>
      </c>
      <c r="AH100" s="13">
        <f t="shared" si="71"/>
        <v>0</v>
      </c>
      <c r="AI100" s="94">
        <f t="shared" si="72"/>
        <v>0</v>
      </c>
      <c r="AJ100" s="15">
        <f t="shared" si="73"/>
        <v>0</v>
      </c>
      <c r="AK100" s="1"/>
      <c r="AM100" s="1"/>
      <c r="AO100" s="1"/>
      <c r="AQ100" s="1"/>
      <c r="AS100" s="1"/>
    </row>
    <row r="101" spans="1:45" s="45" customFormat="1" x14ac:dyDescent="0.25">
      <c r="A101" s="45" t="str">
        <f t="shared" si="75"/>
        <v>allrecycling0CRYEXC</v>
      </c>
      <c r="B101" s="1" t="str">
        <f t="shared" si="76"/>
        <v>camasrecycling0CRYEXC</v>
      </c>
      <c r="C101" s="58" t="s">
        <v>520</v>
      </c>
      <c r="D101" s="58" t="s">
        <v>600</v>
      </c>
      <c r="E101" s="11">
        <v>29.77</v>
      </c>
      <c r="F101" s="11">
        <v>29.77</v>
      </c>
      <c r="G101" s="11">
        <v>29.77</v>
      </c>
      <c r="H101" s="55"/>
      <c r="I101" s="14">
        <v>0</v>
      </c>
      <c r="J101" s="14">
        <v>0</v>
      </c>
      <c r="K101" s="14">
        <v>0</v>
      </c>
      <c r="L101" s="14">
        <v>0</v>
      </c>
      <c r="M101" s="14">
        <v>0</v>
      </c>
      <c r="N101" s="14">
        <v>0</v>
      </c>
      <c r="O101" s="14">
        <v>0</v>
      </c>
      <c r="P101" s="14">
        <v>0</v>
      </c>
      <c r="Q101" s="14">
        <v>0</v>
      </c>
      <c r="R101" s="14">
        <v>0</v>
      </c>
      <c r="S101" s="14">
        <v>0</v>
      </c>
      <c r="T101" s="14">
        <v>0</v>
      </c>
      <c r="U101" s="12">
        <f t="shared" si="59"/>
        <v>0</v>
      </c>
      <c r="W101" s="13">
        <f t="shared" si="60"/>
        <v>0</v>
      </c>
      <c r="X101" s="13">
        <f t="shared" si="61"/>
        <v>0</v>
      </c>
      <c r="Y101" s="13">
        <f t="shared" si="62"/>
        <v>0</v>
      </c>
      <c r="Z101" s="13">
        <f t="shared" si="63"/>
        <v>0</v>
      </c>
      <c r="AA101" s="13">
        <f t="shared" si="64"/>
        <v>0</v>
      </c>
      <c r="AB101" s="13">
        <f t="shared" si="65"/>
        <v>0</v>
      </c>
      <c r="AC101" s="13">
        <f t="shared" si="66"/>
        <v>0</v>
      </c>
      <c r="AD101" s="13">
        <f t="shared" si="67"/>
        <v>0</v>
      </c>
      <c r="AE101" s="13">
        <f t="shared" si="68"/>
        <v>0</v>
      </c>
      <c r="AF101" s="13">
        <f t="shared" si="69"/>
        <v>0</v>
      </c>
      <c r="AG101" s="13">
        <f t="shared" si="70"/>
        <v>0</v>
      </c>
      <c r="AH101" s="13">
        <f t="shared" si="71"/>
        <v>0</v>
      </c>
      <c r="AI101" s="94">
        <f t="shared" si="72"/>
        <v>0</v>
      </c>
      <c r="AJ101" s="15">
        <f t="shared" si="73"/>
        <v>0</v>
      </c>
      <c r="AK101" s="1"/>
      <c r="AM101" s="1"/>
      <c r="AO101" s="1"/>
      <c r="AQ101" s="1"/>
      <c r="AS101" s="1"/>
    </row>
    <row r="102" spans="1:45" s="45" customFormat="1" x14ac:dyDescent="0.25">
      <c r="A102" s="45" t="str">
        <f t="shared" si="75"/>
        <v>allrecyclingCRYACC</v>
      </c>
      <c r="B102" s="1" t="str">
        <f t="shared" si="76"/>
        <v>camasrecyclingCRYACC</v>
      </c>
      <c r="C102" s="58" t="s">
        <v>521</v>
      </c>
      <c r="D102" s="58" t="s">
        <v>601</v>
      </c>
      <c r="E102" s="11">
        <v>11.39</v>
      </c>
      <c r="F102" s="11">
        <v>11.39</v>
      </c>
      <c r="G102" s="11">
        <v>11.39</v>
      </c>
      <c r="H102" s="55"/>
      <c r="I102" s="14">
        <v>216.41</v>
      </c>
      <c r="J102" s="14">
        <v>222.11</v>
      </c>
      <c r="K102" s="14">
        <v>222.11</v>
      </c>
      <c r="L102" s="14">
        <v>233.23</v>
      </c>
      <c r="M102" s="14">
        <v>233.23</v>
      </c>
      <c r="N102" s="14">
        <v>221.27</v>
      </c>
      <c r="O102" s="14">
        <v>221.27</v>
      </c>
      <c r="P102" s="14">
        <v>221.27</v>
      </c>
      <c r="Q102" s="14">
        <v>221.27</v>
      </c>
      <c r="R102" s="14">
        <v>221.27</v>
      </c>
      <c r="S102" s="14">
        <v>221.27</v>
      </c>
      <c r="T102" s="14">
        <v>221.27</v>
      </c>
      <c r="U102" s="12">
        <f t="shared" si="59"/>
        <v>2675.98</v>
      </c>
      <c r="W102" s="13">
        <f t="shared" si="60"/>
        <v>19</v>
      </c>
      <c r="X102" s="13">
        <f t="shared" si="61"/>
        <v>19.500438981562773</v>
      </c>
      <c r="Y102" s="13">
        <f t="shared" si="62"/>
        <v>19.500438981562773</v>
      </c>
      <c r="Z102" s="13">
        <f t="shared" si="63"/>
        <v>20.476733977172955</v>
      </c>
      <c r="AA102" s="13">
        <f t="shared" si="64"/>
        <v>20.476733977172955</v>
      </c>
      <c r="AB102" s="13">
        <f t="shared" si="65"/>
        <v>19.42669007901668</v>
      </c>
      <c r="AC102" s="13">
        <f t="shared" si="66"/>
        <v>19.42669007901668</v>
      </c>
      <c r="AD102" s="13">
        <f t="shared" si="67"/>
        <v>19.42669007901668</v>
      </c>
      <c r="AE102" s="13">
        <f t="shared" si="68"/>
        <v>19.42669007901668</v>
      </c>
      <c r="AF102" s="13">
        <f t="shared" si="69"/>
        <v>19.42669007901668</v>
      </c>
      <c r="AG102" s="13">
        <f t="shared" si="70"/>
        <v>19.42669007901668</v>
      </c>
      <c r="AH102" s="13">
        <f t="shared" si="71"/>
        <v>19.42669007901668</v>
      </c>
      <c r="AI102" s="94">
        <f t="shared" si="72"/>
        <v>19.578431372549019</v>
      </c>
      <c r="AJ102" s="15">
        <f t="shared" si="73"/>
        <v>234.94117647058823</v>
      </c>
      <c r="AK102" s="1"/>
      <c r="AM102" s="1"/>
      <c r="AO102" s="1"/>
      <c r="AQ102" s="1"/>
      <c r="AS102" s="1"/>
    </row>
    <row r="103" spans="1:45" s="45" customFormat="1" x14ac:dyDescent="0.25">
      <c r="A103" s="45" t="str">
        <f t="shared" si="75"/>
        <v>allrecyclingCRYPLACE</v>
      </c>
      <c r="B103" s="1" t="str">
        <f t="shared" si="76"/>
        <v>camasrecyclingCRYPLACE</v>
      </c>
      <c r="C103" s="58" t="s">
        <v>523</v>
      </c>
      <c r="D103" s="58" t="s">
        <v>603</v>
      </c>
      <c r="E103" s="11">
        <v>42.98</v>
      </c>
      <c r="F103" s="11">
        <v>42.98</v>
      </c>
      <c r="G103" s="11">
        <v>42.98</v>
      </c>
      <c r="H103" s="55"/>
      <c r="I103" s="14">
        <v>85.96</v>
      </c>
      <c r="J103" s="14">
        <v>0</v>
      </c>
      <c r="K103" s="14">
        <v>0</v>
      </c>
      <c r="L103" s="14">
        <v>0</v>
      </c>
      <c r="M103" s="14">
        <v>0</v>
      </c>
      <c r="N103" s="14">
        <v>0</v>
      </c>
      <c r="O103" s="14">
        <v>0</v>
      </c>
      <c r="P103" s="14">
        <v>0</v>
      </c>
      <c r="Q103" s="14">
        <v>45.13</v>
      </c>
      <c r="R103" s="14">
        <v>0</v>
      </c>
      <c r="S103" s="14">
        <v>90.26</v>
      </c>
      <c r="T103" s="14">
        <v>0</v>
      </c>
      <c r="U103" s="12">
        <f t="shared" si="59"/>
        <v>221.35000000000002</v>
      </c>
      <c r="W103" s="13">
        <f t="shared" si="60"/>
        <v>2</v>
      </c>
      <c r="X103" s="13">
        <f t="shared" si="61"/>
        <v>0</v>
      </c>
      <c r="Y103" s="13">
        <f t="shared" si="62"/>
        <v>0</v>
      </c>
      <c r="Z103" s="13">
        <f t="shared" si="63"/>
        <v>0</v>
      </c>
      <c r="AA103" s="13">
        <f t="shared" si="64"/>
        <v>0</v>
      </c>
      <c r="AB103" s="13">
        <f t="shared" si="65"/>
        <v>0</v>
      </c>
      <c r="AC103" s="13">
        <f t="shared" si="66"/>
        <v>0</v>
      </c>
      <c r="AD103" s="13">
        <f t="shared" si="67"/>
        <v>0</v>
      </c>
      <c r="AE103" s="13">
        <f t="shared" si="68"/>
        <v>1.0500232666356446</v>
      </c>
      <c r="AF103" s="13">
        <f t="shared" si="69"/>
        <v>0</v>
      </c>
      <c r="AG103" s="13">
        <f t="shared" si="70"/>
        <v>2.1000465332712892</v>
      </c>
      <c r="AH103" s="13">
        <f t="shared" si="71"/>
        <v>0</v>
      </c>
      <c r="AI103" s="94">
        <f t="shared" si="72"/>
        <v>0.42917248332557784</v>
      </c>
      <c r="AJ103" s="15">
        <f t="shared" si="73"/>
        <v>5.1500697999069338</v>
      </c>
      <c r="AK103" s="1"/>
      <c r="AM103" s="1"/>
      <c r="AO103" s="1"/>
      <c r="AQ103" s="1"/>
      <c r="AS103" s="1"/>
    </row>
    <row r="104" spans="1:45" s="45" customFormat="1" x14ac:dyDescent="0.25">
      <c r="A104" s="45" t="str">
        <f t="shared" si="75"/>
        <v>allrecyclingCRYRO</v>
      </c>
      <c r="B104" s="1" t="str">
        <f t="shared" si="76"/>
        <v>camasrecyclingCRYRO</v>
      </c>
      <c r="C104" s="58" t="s">
        <v>524</v>
      </c>
      <c r="D104" s="58" t="s">
        <v>604</v>
      </c>
      <c r="E104" s="11">
        <v>11.39</v>
      </c>
      <c r="F104" s="11">
        <v>11.39</v>
      </c>
      <c r="G104" s="11">
        <v>11.39</v>
      </c>
      <c r="H104" s="55"/>
      <c r="I104" s="14">
        <v>216.42</v>
      </c>
      <c r="J104" s="14">
        <v>216.42</v>
      </c>
      <c r="K104" s="14">
        <v>216.42</v>
      </c>
      <c r="L104" s="14">
        <v>227.26</v>
      </c>
      <c r="M104" s="14">
        <v>233.23</v>
      </c>
      <c r="N104" s="14">
        <v>233.23</v>
      </c>
      <c r="O104" s="14">
        <v>233.23</v>
      </c>
      <c r="P104" s="14">
        <v>233.23</v>
      </c>
      <c r="Q104" s="14">
        <v>233.23</v>
      </c>
      <c r="R104" s="14">
        <v>233.23</v>
      </c>
      <c r="S104" s="14">
        <v>233.23</v>
      </c>
      <c r="T104" s="14">
        <v>233.23</v>
      </c>
      <c r="U104" s="12">
        <f t="shared" si="59"/>
        <v>2742.36</v>
      </c>
      <c r="W104" s="13">
        <f t="shared" si="60"/>
        <v>19.000877963125546</v>
      </c>
      <c r="X104" s="13">
        <f t="shared" si="61"/>
        <v>19.000877963125546</v>
      </c>
      <c r="Y104" s="13">
        <f t="shared" si="62"/>
        <v>19.000877963125546</v>
      </c>
      <c r="Z104" s="13">
        <f t="shared" si="63"/>
        <v>19.952589991220368</v>
      </c>
      <c r="AA104" s="13">
        <f t="shared" si="64"/>
        <v>20.476733977172955</v>
      </c>
      <c r="AB104" s="13">
        <f t="shared" si="65"/>
        <v>20.476733977172955</v>
      </c>
      <c r="AC104" s="13">
        <f t="shared" si="66"/>
        <v>20.476733977172955</v>
      </c>
      <c r="AD104" s="13">
        <f t="shared" si="67"/>
        <v>20.476733977172955</v>
      </c>
      <c r="AE104" s="13">
        <f t="shared" si="68"/>
        <v>20.476733977172955</v>
      </c>
      <c r="AF104" s="13">
        <f t="shared" si="69"/>
        <v>20.476733977172955</v>
      </c>
      <c r="AG104" s="13">
        <f t="shared" si="70"/>
        <v>20.476733977172955</v>
      </c>
      <c r="AH104" s="13">
        <f t="shared" si="71"/>
        <v>20.476733977172955</v>
      </c>
      <c r="AI104" s="94">
        <f t="shared" si="72"/>
        <v>20.064091308165054</v>
      </c>
      <c r="AJ104" s="15">
        <f t="shared" si="73"/>
        <v>240.76909569798065</v>
      </c>
      <c r="AK104" s="1"/>
      <c r="AM104" s="1"/>
      <c r="AO104" s="1"/>
      <c r="AQ104" s="1"/>
      <c r="AS104" s="1"/>
    </row>
    <row r="105" spans="1:45" s="45" customFormat="1" x14ac:dyDescent="0.25">
      <c r="A105" s="45" t="str">
        <f t="shared" si="75"/>
        <v>allrecyclingCRYTRIP</v>
      </c>
      <c r="B105" s="1" t="str">
        <f t="shared" si="76"/>
        <v>camasrecyclingCRYTRIP</v>
      </c>
      <c r="C105" s="58" t="s">
        <v>536</v>
      </c>
      <c r="D105" s="58" t="s">
        <v>616</v>
      </c>
      <c r="E105" s="11">
        <v>20.72</v>
      </c>
      <c r="F105" s="11">
        <v>20.72</v>
      </c>
      <c r="G105" s="11">
        <v>20.72</v>
      </c>
      <c r="H105" s="55"/>
      <c r="I105" s="14">
        <v>0</v>
      </c>
      <c r="J105" s="14">
        <v>20.72</v>
      </c>
      <c r="K105" s="14">
        <v>290.08</v>
      </c>
      <c r="L105" s="14">
        <v>0</v>
      </c>
      <c r="M105" s="14">
        <v>0</v>
      </c>
      <c r="N105" s="14">
        <v>21.76</v>
      </c>
      <c r="O105" s="14">
        <v>0</v>
      </c>
      <c r="P105" s="14">
        <v>0</v>
      </c>
      <c r="Q105" s="14">
        <v>0</v>
      </c>
      <c r="R105" s="14">
        <v>0</v>
      </c>
      <c r="S105" s="14">
        <v>0</v>
      </c>
      <c r="T105" s="14">
        <v>0</v>
      </c>
      <c r="U105" s="12">
        <f t="shared" si="59"/>
        <v>332.55999999999995</v>
      </c>
      <c r="W105" s="13">
        <f t="shared" si="60"/>
        <v>0</v>
      </c>
      <c r="X105" s="13">
        <f t="shared" si="61"/>
        <v>1</v>
      </c>
      <c r="Y105" s="13">
        <f t="shared" si="62"/>
        <v>14</v>
      </c>
      <c r="Z105" s="13">
        <f t="shared" si="63"/>
        <v>0</v>
      </c>
      <c r="AA105" s="13">
        <f t="shared" si="64"/>
        <v>0</v>
      </c>
      <c r="AB105" s="13">
        <f t="shared" si="65"/>
        <v>1.0501930501930503</v>
      </c>
      <c r="AC105" s="13">
        <f t="shared" si="66"/>
        <v>0</v>
      </c>
      <c r="AD105" s="13">
        <f t="shared" si="67"/>
        <v>0</v>
      </c>
      <c r="AE105" s="13">
        <f t="shared" si="68"/>
        <v>0</v>
      </c>
      <c r="AF105" s="13">
        <f t="shared" si="69"/>
        <v>0</v>
      </c>
      <c r="AG105" s="13">
        <f t="shared" si="70"/>
        <v>0</v>
      </c>
      <c r="AH105" s="13">
        <f t="shared" si="71"/>
        <v>0</v>
      </c>
      <c r="AI105" s="94">
        <f t="shared" si="72"/>
        <v>1.3375160875160876</v>
      </c>
      <c r="AJ105" s="15">
        <f t="shared" si="73"/>
        <v>16.050193050193052</v>
      </c>
      <c r="AK105" s="1"/>
      <c r="AM105" s="1"/>
      <c r="AO105" s="1"/>
      <c r="AQ105" s="1"/>
      <c r="AS105" s="1"/>
    </row>
    <row r="106" spans="1:45" s="45" customFormat="1" x14ac:dyDescent="0.25">
      <c r="A106" s="45" t="str">
        <f t="shared" si="75"/>
        <v>allrecyclingCRY1.5OC</v>
      </c>
      <c r="B106" s="1" t="str">
        <f t="shared" si="76"/>
        <v>camasrecyclingCRY1.5OC</v>
      </c>
      <c r="C106" s="58" t="s">
        <v>508</v>
      </c>
      <c r="D106" s="58" t="s">
        <v>590</v>
      </c>
      <c r="E106" s="11">
        <v>40.119999999999997</v>
      </c>
      <c r="F106" s="11">
        <v>40.119999999999997</v>
      </c>
      <c r="G106" s="11">
        <v>40.119999999999997</v>
      </c>
      <c r="H106" s="43"/>
      <c r="I106" s="14">
        <v>34.880000000000003</v>
      </c>
      <c r="J106" s="14">
        <v>34.880000000000003</v>
      </c>
      <c r="K106" s="14">
        <v>34.880000000000003</v>
      </c>
      <c r="L106" s="14">
        <v>36.619999999999997</v>
      </c>
      <c r="M106" s="14">
        <v>36.619999999999997</v>
      </c>
      <c r="N106" s="14">
        <v>36.619999999999997</v>
      </c>
      <c r="O106" s="14">
        <v>36.619999999999997</v>
      </c>
      <c r="P106" s="14">
        <v>36.619999999999997</v>
      </c>
      <c r="Q106" s="14">
        <v>36.619999999999997</v>
      </c>
      <c r="R106" s="14">
        <v>36.619999999999997</v>
      </c>
      <c r="S106" s="14">
        <v>36.619999999999997</v>
      </c>
      <c r="T106" s="14">
        <v>36.619999999999997</v>
      </c>
      <c r="U106" s="16">
        <f t="shared" si="59"/>
        <v>434.22</v>
      </c>
      <c r="W106" s="13">
        <f t="shared" si="60"/>
        <v>0.86939182452642083</v>
      </c>
      <c r="X106" s="13">
        <f t="shared" si="61"/>
        <v>0.86939182452642083</v>
      </c>
      <c r="Y106" s="13">
        <f t="shared" si="62"/>
        <v>0.86939182452642083</v>
      </c>
      <c r="Z106" s="13">
        <f t="shared" si="63"/>
        <v>0.91276171485543367</v>
      </c>
      <c r="AA106" s="13">
        <f t="shared" si="64"/>
        <v>0.91276171485543367</v>
      </c>
      <c r="AB106" s="13">
        <f t="shared" si="65"/>
        <v>0.91276171485543367</v>
      </c>
      <c r="AC106" s="13">
        <f t="shared" si="66"/>
        <v>0.91276171485543367</v>
      </c>
      <c r="AD106" s="13">
        <f t="shared" si="67"/>
        <v>0.91276171485543367</v>
      </c>
      <c r="AE106" s="13">
        <f t="shared" si="68"/>
        <v>0.91276171485543367</v>
      </c>
      <c r="AF106" s="13">
        <f t="shared" si="69"/>
        <v>0.91276171485543367</v>
      </c>
      <c r="AG106" s="13">
        <f t="shared" si="70"/>
        <v>0.91276171485543367</v>
      </c>
      <c r="AH106" s="13">
        <f t="shared" si="71"/>
        <v>0.91276171485543367</v>
      </c>
      <c r="AI106" s="94">
        <f t="shared" si="72"/>
        <v>0.90191924227318021</v>
      </c>
      <c r="AJ106" s="15">
        <f t="shared" si="73"/>
        <v>10.823030907278163</v>
      </c>
      <c r="AK106" s="1"/>
      <c r="AM106" s="1"/>
      <c r="AO106" s="1"/>
      <c r="AQ106" s="1"/>
      <c r="AS106" s="1"/>
    </row>
    <row r="107" spans="1:45" s="45" customFormat="1" x14ac:dyDescent="0.25">
      <c r="A107" s="45" t="str">
        <f t="shared" si="75"/>
        <v>allrecyclingCRYEX4YD</v>
      </c>
      <c r="B107" s="1" t="str">
        <f t="shared" si="76"/>
        <v>camasrecyclingCRYEX4YD</v>
      </c>
      <c r="C107" s="58" t="s">
        <v>532</v>
      </c>
      <c r="D107" s="58" t="s">
        <v>612</v>
      </c>
      <c r="E107" s="11">
        <v>41.5</v>
      </c>
      <c r="F107" s="11">
        <v>41.5</v>
      </c>
      <c r="G107" s="11">
        <v>41.5</v>
      </c>
      <c r="H107" s="43"/>
      <c r="I107" s="14">
        <v>0</v>
      </c>
      <c r="J107" s="14">
        <v>0</v>
      </c>
      <c r="K107" s="14">
        <v>298.69</v>
      </c>
      <c r="L107" s="14">
        <v>0</v>
      </c>
      <c r="M107" s="14">
        <v>0</v>
      </c>
      <c r="N107" s="14">
        <v>43.58</v>
      </c>
      <c r="O107" s="14">
        <v>0</v>
      </c>
      <c r="P107" s="14">
        <v>0</v>
      </c>
      <c r="Q107" s="14">
        <v>0</v>
      </c>
      <c r="R107" s="14">
        <v>0</v>
      </c>
      <c r="S107" s="14">
        <v>0</v>
      </c>
      <c r="T107" s="14">
        <v>0</v>
      </c>
      <c r="U107" s="16">
        <f t="shared" si="59"/>
        <v>342.27</v>
      </c>
      <c r="W107" s="13">
        <f t="shared" si="60"/>
        <v>0</v>
      </c>
      <c r="X107" s="13">
        <f t="shared" si="61"/>
        <v>0</v>
      </c>
      <c r="Y107" s="13">
        <f t="shared" si="62"/>
        <v>7.1973493975903615</v>
      </c>
      <c r="Z107" s="13">
        <f t="shared" si="63"/>
        <v>0</v>
      </c>
      <c r="AA107" s="13">
        <f t="shared" si="64"/>
        <v>0</v>
      </c>
      <c r="AB107" s="13">
        <f t="shared" si="65"/>
        <v>1.0501204819277108</v>
      </c>
      <c r="AC107" s="13">
        <f t="shared" si="66"/>
        <v>0</v>
      </c>
      <c r="AD107" s="13">
        <f t="shared" si="67"/>
        <v>0</v>
      </c>
      <c r="AE107" s="13">
        <f t="shared" si="68"/>
        <v>0</v>
      </c>
      <c r="AF107" s="13">
        <f t="shared" si="69"/>
        <v>0</v>
      </c>
      <c r="AG107" s="13">
        <f t="shared" si="70"/>
        <v>0</v>
      </c>
      <c r="AH107" s="13">
        <f t="shared" si="71"/>
        <v>0</v>
      </c>
      <c r="AI107" s="94">
        <f>+IFERROR(AVERAGE(W107:AH107),0)</f>
        <v>0.68728915662650591</v>
      </c>
      <c r="AJ107" s="15">
        <f>+SUM(W107:AH107)</f>
        <v>8.2474698795180714</v>
      </c>
      <c r="AK107" s="1"/>
      <c r="AM107" s="1"/>
      <c r="AO107" s="1"/>
      <c r="AQ107" s="1"/>
      <c r="AS107" s="1"/>
    </row>
    <row r="108" spans="1:45" s="45" customFormat="1" x14ac:dyDescent="0.25">
      <c r="A108" s="45" t="str">
        <f>"all"&amp;"recycling"&amp;C108</f>
        <v>allrecyclingCRYEX8YD</v>
      </c>
      <c r="B108" s="1" t="str">
        <f>"camas"&amp;"recycling"&amp;C108</f>
        <v>camasrecyclingCRYEX8YD</v>
      </c>
      <c r="C108" s="58" t="s">
        <v>535</v>
      </c>
      <c r="D108" s="58" t="s">
        <v>615</v>
      </c>
      <c r="E108" s="11">
        <v>46.54</v>
      </c>
      <c r="F108" s="11">
        <v>46.54</v>
      </c>
      <c r="G108" s="11">
        <v>46.54</v>
      </c>
      <c r="H108" s="43"/>
      <c r="I108" s="14">
        <v>0</v>
      </c>
      <c r="J108" s="14">
        <v>0</v>
      </c>
      <c r="K108" s="14">
        <v>107.2</v>
      </c>
      <c r="L108" s="14">
        <v>0</v>
      </c>
      <c r="M108" s="14">
        <v>0</v>
      </c>
      <c r="N108" s="14">
        <v>0</v>
      </c>
      <c r="O108" s="14">
        <v>0</v>
      </c>
      <c r="P108" s="14">
        <v>0</v>
      </c>
      <c r="Q108" s="14">
        <v>48.87</v>
      </c>
      <c r="R108" s="14">
        <v>0</v>
      </c>
      <c r="S108" s="14">
        <v>0</v>
      </c>
      <c r="T108" s="14">
        <v>0</v>
      </c>
      <c r="U108" s="16">
        <f>SUM(I108:T108)</f>
        <v>156.07</v>
      </c>
      <c r="W108" s="13">
        <f t="shared" si="60"/>
        <v>0</v>
      </c>
      <c r="X108" s="13">
        <f t="shared" si="61"/>
        <v>0</v>
      </c>
      <c r="Y108" s="13">
        <f t="shared" si="62"/>
        <v>2.3033949290932534</v>
      </c>
      <c r="Z108" s="13">
        <f t="shared" si="63"/>
        <v>0</v>
      </c>
      <c r="AA108" s="13">
        <f t="shared" si="64"/>
        <v>0</v>
      </c>
      <c r="AB108" s="13">
        <f t="shared" si="65"/>
        <v>0</v>
      </c>
      <c r="AC108" s="13">
        <f t="shared" si="66"/>
        <v>0</v>
      </c>
      <c r="AD108" s="13">
        <f t="shared" si="67"/>
        <v>0</v>
      </c>
      <c r="AE108" s="13">
        <f t="shared" si="68"/>
        <v>1.0500644606789857</v>
      </c>
      <c r="AF108" s="13">
        <f t="shared" si="69"/>
        <v>0</v>
      </c>
      <c r="AG108" s="13">
        <f t="shared" si="70"/>
        <v>0</v>
      </c>
      <c r="AH108" s="13">
        <f t="shared" si="71"/>
        <v>0</v>
      </c>
      <c r="AI108" s="94">
        <f t="shared" si="72"/>
        <v>0.27945494914768659</v>
      </c>
      <c r="AJ108" s="15">
        <f t="shared" si="73"/>
        <v>3.3534593897722393</v>
      </c>
      <c r="AK108" s="1"/>
      <c r="AM108" s="1"/>
      <c r="AO108" s="1"/>
      <c r="AQ108" s="1"/>
      <c r="AS108" s="1"/>
    </row>
    <row r="109" spans="1:45" s="45" customFormat="1" x14ac:dyDescent="0.25">
      <c r="A109" s="45" t="str">
        <f t="shared" si="75"/>
        <v>allrecyclingCRY3YOC</v>
      </c>
      <c r="B109" s="1" t="str">
        <f t="shared" si="76"/>
        <v>camasrecyclingCRY3YOC</v>
      </c>
      <c r="C109" s="58" t="s">
        <v>510</v>
      </c>
      <c r="D109" s="58" t="s">
        <v>592</v>
      </c>
      <c r="E109" s="11">
        <v>45.84</v>
      </c>
      <c r="F109" s="11">
        <v>45.84</v>
      </c>
      <c r="G109" s="11">
        <v>45.84</v>
      </c>
      <c r="H109" s="43"/>
      <c r="I109" s="14">
        <v>79.680000000000007</v>
      </c>
      <c r="J109" s="14">
        <v>79.680000000000007</v>
      </c>
      <c r="K109" s="14">
        <v>79.680000000000007</v>
      </c>
      <c r="L109" s="14">
        <v>83.66</v>
      </c>
      <c r="M109" s="14">
        <v>83.66</v>
      </c>
      <c r="N109" s="14">
        <v>41.83</v>
      </c>
      <c r="O109" s="14">
        <v>41.83</v>
      </c>
      <c r="P109" s="14">
        <v>41.83</v>
      </c>
      <c r="Q109" s="14">
        <v>41.83</v>
      </c>
      <c r="R109" s="14">
        <v>41.83</v>
      </c>
      <c r="S109" s="14">
        <v>41.83</v>
      </c>
      <c r="T109" s="14">
        <v>0</v>
      </c>
      <c r="U109" s="16">
        <f t="shared" si="59"/>
        <v>657.34000000000015</v>
      </c>
      <c r="W109" s="13">
        <f t="shared" si="60"/>
        <v>1.7382198952879582</v>
      </c>
      <c r="X109" s="13">
        <f t="shared" si="61"/>
        <v>1.7382198952879582</v>
      </c>
      <c r="Y109" s="13">
        <f t="shared" si="62"/>
        <v>1.7382198952879582</v>
      </c>
      <c r="Z109" s="13">
        <f t="shared" si="63"/>
        <v>1.8250436300174517</v>
      </c>
      <c r="AA109" s="13">
        <f t="shared" si="64"/>
        <v>1.8250436300174517</v>
      </c>
      <c r="AB109" s="13">
        <f t="shared" si="65"/>
        <v>0.91252181500872587</v>
      </c>
      <c r="AC109" s="13">
        <f t="shared" si="66"/>
        <v>0.91252181500872587</v>
      </c>
      <c r="AD109" s="13">
        <f t="shared" si="67"/>
        <v>0.91252181500872587</v>
      </c>
      <c r="AE109" s="13">
        <f t="shared" si="68"/>
        <v>0.91252181500872587</v>
      </c>
      <c r="AF109" s="13">
        <f t="shared" si="69"/>
        <v>0.91252181500872587</v>
      </c>
      <c r="AG109" s="13">
        <f t="shared" si="70"/>
        <v>0.91252181500872587</v>
      </c>
      <c r="AH109" s="13">
        <f t="shared" si="71"/>
        <v>0</v>
      </c>
      <c r="AI109" s="94">
        <f t="shared" ref="AI109:AI114" si="82">+IFERROR(AVERAGE(W109:AH109),0)</f>
        <v>1.1949898196625941</v>
      </c>
      <c r="AJ109" s="15">
        <f t="shared" ref="AJ109:AJ114" si="83">+SUM(W109:AH109)</f>
        <v>14.33987783595113</v>
      </c>
      <c r="AK109" s="1"/>
      <c r="AM109" s="1"/>
      <c r="AO109" s="1"/>
      <c r="AQ109" s="1"/>
      <c r="AS109" s="1"/>
    </row>
    <row r="110" spans="1:45" ht="12" customHeight="1" x14ac:dyDescent="0.25">
      <c r="B110" s="1" t="str">
        <f>"camas"&amp;"Accounting"&amp;C110</f>
        <v>camasAccountingMM</v>
      </c>
      <c r="C110" s="58" t="s">
        <v>1010</v>
      </c>
      <c r="D110" s="58" t="s">
        <v>1011</v>
      </c>
      <c r="E110" s="11">
        <v>0</v>
      </c>
      <c r="F110" s="11">
        <v>0</v>
      </c>
      <c r="G110" s="11">
        <v>0</v>
      </c>
      <c r="H110" s="11"/>
      <c r="I110" s="14">
        <v>-15.010000000000005</v>
      </c>
      <c r="J110" s="14">
        <v>-3.96</v>
      </c>
      <c r="K110" s="14">
        <v>-65.040000000000006</v>
      </c>
      <c r="L110" s="14">
        <v>-22.73</v>
      </c>
      <c r="M110" s="14">
        <v>0</v>
      </c>
      <c r="N110" s="14">
        <v>-32.919999999999987</v>
      </c>
      <c r="O110" s="14">
        <v>-170.51</v>
      </c>
      <c r="P110" s="14">
        <v>2808.74</v>
      </c>
      <c r="Q110" s="14">
        <v>0</v>
      </c>
      <c r="R110" s="14">
        <v>54.78</v>
      </c>
      <c r="S110" s="14">
        <v>0</v>
      </c>
      <c r="T110" s="14">
        <v>-10.83</v>
      </c>
      <c r="U110" s="16">
        <f>SUM(I110:T110)</f>
        <v>2542.52</v>
      </c>
      <c r="W110" s="25"/>
      <c r="X110" s="25"/>
      <c r="Y110" s="25"/>
      <c r="Z110" s="25"/>
      <c r="AA110" s="25"/>
      <c r="AB110" s="25"/>
      <c r="AC110" s="25"/>
      <c r="AD110" s="25"/>
      <c r="AE110" s="25"/>
      <c r="AF110" s="25"/>
      <c r="AG110" s="25"/>
      <c r="AH110" s="25"/>
    </row>
    <row r="111" spans="1:45" ht="12" customHeight="1" x14ac:dyDescent="0.25">
      <c r="B111" s="1" t="str">
        <f>"camas"&amp;"Accounting"&amp;C111</f>
        <v>camasAccountingGWC</v>
      </c>
      <c r="C111" s="58" t="s">
        <v>209</v>
      </c>
      <c r="D111" s="58" t="s">
        <v>302</v>
      </c>
      <c r="E111" s="11">
        <v>0</v>
      </c>
      <c r="F111" s="11">
        <v>0</v>
      </c>
      <c r="G111" s="11">
        <v>0</v>
      </c>
      <c r="H111" s="11"/>
      <c r="I111" s="14">
        <v>0</v>
      </c>
      <c r="J111" s="14">
        <v>0</v>
      </c>
      <c r="K111" s="14">
        <v>0</v>
      </c>
      <c r="L111" s="14">
        <v>0</v>
      </c>
      <c r="M111" s="14">
        <v>-96.4</v>
      </c>
      <c r="N111" s="14">
        <v>0</v>
      </c>
      <c r="O111" s="14">
        <v>0</v>
      </c>
      <c r="P111" s="14">
        <v>0</v>
      </c>
      <c r="Q111" s="14">
        <v>0</v>
      </c>
      <c r="R111" s="14">
        <v>0</v>
      </c>
      <c r="S111" s="14">
        <v>0</v>
      </c>
      <c r="T111" s="14">
        <v>0</v>
      </c>
      <c r="U111" s="16">
        <f>SUM(I111:T111)</f>
        <v>-96.4</v>
      </c>
      <c r="W111" s="25"/>
      <c r="X111" s="25"/>
      <c r="Y111" s="25"/>
      <c r="Z111" s="25"/>
      <c r="AA111" s="25"/>
      <c r="AB111" s="25"/>
      <c r="AC111" s="25"/>
      <c r="AD111" s="25"/>
      <c r="AE111" s="25"/>
      <c r="AF111" s="25"/>
      <c r="AG111" s="25"/>
      <c r="AH111" s="25"/>
    </row>
    <row r="112" spans="1:45" s="45" customFormat="1" x14ac:dyDescent="0.25">
      <c r="A112" s="45" t="str">
        <f>"all"&amp;"recycling"&amp;C112</f>
        <v>allrecyclingCRY90OC</v>
      </c>
      <c r="B112" s="1" t="str">
        <f t="shared" si="76"/>
        <v>camasrecyclingCRY90OC</v>
      </c>
      <c r="C112" s="58" t="s">
        <v>517</v>
      </c>
      <c r="D112" s="58" t="s">
        <v>598</v>
      </c>
      <c r="E112" s="11">
        <v>11.62</v>
      </c>
      <c r="F112" s="11">
        <v>11.62</v>
      </c>
      <c r="G112" s="11">
        <v>11.62</v>
      </c>
      <c r="H112" s="43"/>
      <c r="I112" s="14">
        <v>8.6999999999999993</v>
      </c>
      <c r="J112" s="14">
        <v>8.6999999999999993</v>
      </c>
      <c r="K112" s="14">
        <v>8.6999999999999993</v>
      </c>
      <c r="L112" s="14">
        <v>9.14</v>
      </c>
      <c r="M112" s="14">
        <v>9.14</v>
      </c>
      <c r="N112" s="14">
        <v>9.14</v>
      </c>
      <c r="O112" s="14">
        <v>7.31</v>
      </c>
      <c r="P112" s="14">
        <v>12.2</v>
      </c>
      <c r="Q112" s="14">
        <v>12.2</v>
      </c>
      <c r="R112" s="14">
        <v>12.2</v>
      </c>
      <c r="S112" s="14">
        <v>12.2</v>
      </c>
      <c r="T112" s="14">
        <v>12.2</v>
      </c>
      <c r="U112" s="16">
        <f t="shared" si="59"/>
        <v>121.83000000000001</v>
      </c>
      <c r="W112" s="13">
        <f>IFERROR(I112/$E112,0)</f>
        <v>0.74870912220309804</v>
      </c>
      <c r="X112" s="13">
        <f>IFERROR(J112/$E112,0)</f>
        <v>0.74870912220309804</v>
      </c>
      <c r="Y112" s="13">
        <f>IFERROR(K112/$E112,0)</f>
        <v>0.74870912220309804</v>
      </c>
      <c r="Z112" s="13">
        <f t="shared" ref="Z112:AE112" si="84">IFERROR(L112/$F112,0)</f>
        <v>0.78657487091222045</v>
      </c>
      <c r="AA112" s="13">
        <f t="shared" si="84"/>
        <v>0.78657487091222045</v>
      </c>
      <c r="AB112" s="13">
        <f t="shared" si="84"/>
        <v>0.78657487091222045</v>
      </c>
      <c r="AC112" s="13">
        <f t="shared" si="84"/>
        <v>0.62908777969018936</v>
      </c>
      <c r="AD112" s="13">
        <f t="shared" si="84"/>
        <v>1.0499139414802066</v>
      </c>
      <c r="AE112" s="13">
        <f t="shared" si="84"/>
        <v>1.0499139414802066</v>
      </c>
      <c r="AF112" s="13">
        <f>IFERROR(R112/$G112,0)</f>
        <v>1.0499139414802066</v>
      </c>
      <c r="AG112" s="13">
        <f>IFERROR(S112/$G112,0)</f>
        <v>1.0499139414802066</v>
      </c>
      <c r="AH112" s="13">
        <f>IFERROR(T112/$G112,0)</f>
        <v>1.0499139414802066</v>
      </c>
      <c r="AI112" s="94">
        <f t="shared" si="82"/>
        <v>0.87370912220309804</v>
      </c>
      <c r="AJ112" s="15">
        <f t="shared" si="83"/>
        <v>10.484509466437176</v>
      </c>
      <c r="AK112" s="1"/>
      <c r="AM112" s="1"/>
      <c r="AO112" s="1"/>
      <c r="AQ112" s="1"/>
      <c r="AS112" s="1"/>
    </row>
    <row r="113" spans="1:46" ht="12" customHeight="1" x14ac:dyDescent="0.25">
      <c r="B113" s="1" t="str">
        <f>"camas"&amp;"Accounting"&amp;C113</f>
        <v>camasAccountingADJ</v>
      </c>
      <c r="C113" s="58" t="s">
        <v>208</v>
      </c>
      <c r="D113" s="58" t="s">
        <v>301</v>
      </c>
      <c r="E113" s="11">
        <v>0</v>
      </c>
      <c r="F113" s="11">
        <v>0</v>
      </c>
      <c r="G113" s="11">
        <v>0</v>
      </c>
      <c r="H113" s="11"/>
      <c r="I113" s="14">
        <v>0</v>
      </c>
      <c r="J113" s="14">
        <v>0</v>
      </c>
      <c r="K113" s="14">
        <v>0</v>
      </c>
      <c r="L113" s="14">
        <v>0</v>
      </c>
      <c r="M113" s="14">
        <v>0</v>
      </c>
      <c r="N113" s="14">
        <v>0</v>
      </c>
      <c r="O113" s="14">
        <v>0</v>
      </c>
      <c r="P113" s="14">
        <v>-8.4600000000000009</v>
      </c>
      <c r="Q113" s="14">
        <v>-8.4</v>
      </c>
      <c r="R113" s="14">
        <v>0</v>
      </c>
      <c r="S113" s="14">
        <v>-2.31</v>
      </c>
      <c r="T113" s="14">
        <v>0</v>
      </c>
      <c r="U113" s="16">
        <f>SUM(I113:T113)</f>
        <v>-19.169999999999998</v>
      </c>
      <c r="W113" s="25"/>
      <c r="X113" s="25"/>
      <c r="Y113" s="25"/>
      <c r="Z113" s="25"/>
      <c r="AA113" s="25"/>
      <c r="AB113" s="25"/>
      <c r="AC113" s="25"/>
      <c r="AD113" s="25"/>
      <c r="AE113" s="25"/>
      <c r="AF113" s="25"/>
      <c r="AG113" s="25"/>
      <c r="AH113" s="25"/>
    </row>
    <row r="114" spans="1:46" s="45" customFormat="1" x14ac:dyDescent="0.25">
      <c r="A114" s="45" t="str">
        <f>"all"&amp;"recycling"&amp;C114</f>
        <v>allrecyclingMFTOTE</v>
      </c>
      <c r="B114" s="1" t="str">
        <f>"camas"&amp;"recycling"&amp;C114</f>
        <v>camasrecyclingMFTOTE</v>
      </c>
      <c r="C114" s="58" t="s">
        <v>1033</v>
      </c>
      <c r="D114" s="58" t="s">
        <v>1362</v>
      </c>
      <c r="E114" s="11">
        <v>8.11</v>
      </c>
      <c r="F114" s="11">
        <v>8.11</v>
      </c>
      <c r="G114" s="11">
        <v>8.11</v>
      </c>
      <c r="H114" s="43"/>
      <c r="I114" s="14">
        <v>0</v>
      </c>
      <c r="J114" s="14">
        <v>0</v>
      </c>
      <c r="K114" s="14">
        <v>0</v>
      </c>
      <c r="L114" s="14">
        <v>0</v>
      </c>
      <c r="M114" s="14">
        <v>0</v>
      </c>
      <c r="N114" s="14">
        <v>0</v>
      </c>
      <c r="O114" s="14">
        <v>0</v>
      </c>
      <c r="P114" s="14">
        <v>0</v>
      </c>
      <c r="Q114" s="14">
        <v>0</v>
      </c>
      <c r="R114" s="14">
        <v>0</v>
      </c>
      <c r="S114" s="14">
        <v>0</v>
      </c>
      <c r="T114" s="14">
        <v>0</v>
      </c>
      <c r="U114" s="16">
        <f>SUM(I114:T114)</f>
        <v>0</v>
      </c>
      <c r="W114" s="13">
        <f>IFERROR(I114/$E114,0)</f>
        <v>0</v>
      </c>
      <c r="X114" s="13">
        <f>IFERROR(J114/$E114,0)</f>
        <v>0</v>
      </c>
      <c r="Y114" s="13">
        <f>IFERROR(K114/$E114,0)</f>
        <v>0</v>
      </c>
      <c r="Z114" s="13">
        <f t="shared" ref="Z114:AE114" si="85">IFERROR(L114/$F114,0)</f>
        <v>0</v>
      </c>
      <c r="AA114" s="13">
        <f t="shared" si="85"/>
        <v>0</v>
      </c>
      <c r="AB114" s="13">
        <f t="shared" si="85"/>
        <v>0</v>
      </c>
      <c r="AC114" s="13">
        <f t="shared" si="85"/>
        <v>0</v>
      </c>
      <c r="AD114" s="13">
        <f t="shared" si="85"/>
        <v>0</v>
      </c>
      <c r="AE114" s="13">
        <f t="shared" si="85"/>
        <v>0</v>
      </c>
      <c r="AF114" s="13">
        <f>IFERROR(R114/$G114,0)</f>
        <v>0</v>
      </c>
      <c r="AG114" s="13">
        <f>IFERROR(S114/$G114,0)</f>
        <v>0</v>
      </c>
      <c r="AH114" s="13">
        <f>IFERROR(T114/$G114,0)</f>
        <v>0</v>
      </c>
      <c r="AI114" s="94">
        <f t="shared" si="82"/>
        <v>0</v>
      </c>
      <c r="AJ114" s="15">
        <f t="shared" si="83"/>
        <v>0</v>
      </c>
      <c r="AK114" s="1"/>
      <c r="AM114" s="1"/>
      <c r="AO114" s="1"/>
      <c r="AQ114" s="1"/>
      <c r="AS114" s="1"/>
    </row>
    <row r="115" spans="1:46" s="45" customFormat="1" ht="12.75" x14ac:dyDescent="0.2">
      <c r="C115" s="40"/>
      <c r="D115" s="40"/>
      <c r="E115" s="11"/>
      <c r="F115" s="11"/>
      <c r="G115" s="11"/>
      <c r="H115" s="43"/>
      <c r="I115" s="46"/>
      <c r="J115" s="47"/>
      <c r="K115" s="48"/>
      <c r="L115" s="49"/>
      <c r="M115" s="49"/>
      <c r="U115" s="16"/>
      <c r="W115" s="25"/>
      <c r="X115" s="25"/>
      <c r="Y115" s="25"/>
      <c r="Z115" s="25"/>
      <c r="AA115" s="25"/>
      <c r="AB115" s="25"/>
      <c r="AC115" s="25"/>
      <c r="AD115" s="25"/>
      <c r="AE115" s="25"/>
      <c r="AF115" s="25"/>
      <c r="AG115" s="25"/>
      <c r="AH115" s="25"/>
      <c r="AJ115" s="1"/>
      <c r="AK115" s="1"/>
    </row>
    <row r="116" spans="1:46" s="45" customFormat="1" ht="12.75" x14ac:dyDescent="0.2">
      <c r="D116" s="52" t="s">
        <v>28</v>
      </c>
      <c r="E116" s="11"/>
      <c r="F116" s="11"/>
      <c r="G116" s="11"/>
      <c r="H116" s="51"/>
      <c r="I116" s="23">
        <f t="shared" ref="I116:U116" si="86">SUM(I65:I115)</f>
        <v>19179.060000000005</v>
      </c>
      <c r="J116" s="23">
        <f t="shared" si="86"/>
        <v>19371.439999999999</v>
      </c>
      <c r="K116" s="23">
        <f t="shared" si="86"/>
        <v>20695.559999999998</v>
      </c>
      <c r="L116" s="23">
        <f t="shared" si="86"/>
        <v>19972.089999999997</v>
      </c>
      <c r="M116" s="23">
        <f t="shared" si="86"/>
        <v>19978.789999999994</v>
      </c>
      <c r="N116" s="23">
        <f t="shared" si="86"/>
        <v>19804.490000000002</v>
      </c>
      <c r="O116" s="23">
        <f t="shared" si="86"/>
        <v>19393.899999999998</v>
      </c>
      <c r="P116" s="23">
        <f t="shared" si="86"/>
        <v>22470.749999999996</v>
      </c>
      <c r="Q116" s="23">
        <f t="shared" si="86"/>
        <v>19919.189999999995</v>
      </c>
      <c r="R116" s="23">
        <f t="shared" si="86"/>
        <v>19803.609999999997</v>
      </c>
      <c r="S116" s="23">
        <f t="shared" si="86"/>
        <v>19942.669999999995</v>
      </c>
      <c r="T116" s="23">
        <f t="shared" si="86"/>
        <v>20043.519999999993</v>
      </c>
      <c r="U116" s="23">
        <f t="shared" si="86"/>
        <v>240575.06999999989</v>
      </c>
      <c r="W116" s="185">
        <f t="shared" ref="W116:AJ116" si="87">SUM(W65:W95)</f>
        <v>158.31776386413884</v>
      </c>
      <c r="X116" s="185">
        <f t="shared" si="87"/>
        <v>157.91445449120988</v>
      </c>
      <c r="Y116" s="185">
        <f t="shared" si="87"/>
        <v>169.35508650587789</v>
      </c>
      <c r="Z116" s="185">
        <f t="shared" si="87"/>
        <v>166.67399152793507</v>
      </c>
      <c r="AA116" s="185">
        <f t="shared" si="87"/>
        <v>166.45161147815526</v>
      </c>
      <c r="AB116" s="185">
        <f t="shared" si="87"/>
        <v>165.66415032366427</v>
      </c>
      <c r="AC116" s="185">
        <f t="shared" si="87"/>
        <v>161.33653180016839</v>
      </c>
      <c r="AD116" s="185">
        <f t="shared" si="87"/>
        <v>163.30936752297194</v>
      </c>
      <c r="AE116" s="185">
        <f t="shared" si="87"/>
        <v>163.83434396029523</v>
      </c>
      <c r="AF116" s="185">
        <f t="shared" si="87"/>
        <v>163.32952091624631</v>
      </c>
      <c r="AG116" s="185">
        <f t="shared" si="87"/>
        <v>163.06524890311721</v>
      </c>
      <c r="AH116" s="185">
        <f t="shared" si="87"/>
        <v>165.37859382129338</v>
      </c>
      <c r="AI116" s="185">
        <f t="shared" si="87"/>
        <v>163.71922209292279</v>
      </c>
      <c r="AJ116" s="185">
        <f t="shared" si="87"/>
        <v>1964.6306651150737</v>
      </c>
      <c r="AK116" s="1"/>
      <c r="AN116" s="186">
        <f>SUM(AN65:AN95)</f>
        <v>71.086960561118801</v>
      </c>
      <c r="AP116" s="186">
        <f>SUM(AP65:AP95)</f>
        <v>64.284122235456294</v>
      </c>
      <c r="AR116" s="186">
        <f>SUM(AR65:AR95)</f>
        <v>0</v>
      </c>
      <c r="AT116" s="186">
        <f>SUM(AT65:AT95)</f>
        <v>0</v>
      </c>
    </row>
    <row r="117" spans="1:46" ht="12" customHeight="1" x14ac:dyDescent="0.2">
      <c r="C117" s="26"/>
      <c r="D117" s="26"/>
      <c r="E117" s="11"/>
      <c r="F117" s="11"/>
      <c r="G117" s="11"/>
      <c r="H117" s="11"/>
      <c r="I117" s="12"/>
      <c r="J117" s="13" t="str">
        <f>IF(H117="","",(#REF!/H117)+(#REF!/#REF!))</f>
        <v/>
      </c>
      <c r="K117" s="13" t="str">
        <f>IF(H117="","",J117/12)</f>
        <v/>
      </c>
      <c r="AI117" s="1"/>
      <c r="AJ117" s="214"/>
    </row>
    <row r="118" spans="1:46" ht="12" customHeight="1" x14ac:dyDescent="0.25">
      <c r="C118" s="28" t="s">
        <v>13</v>
      </c>
      <c r="D118" s="27" t="s">
        <v>13</v>
      </c>
      <c r="E118" s="11"/>
      <c r="F118" s="11"/>
      <c r="G118" s="11"/>
      <c r="H118" s="11"/>
      <c r="I118" s="12"/>
      <c r="J118" s="13" t="str">
        <f>IF(H118="","",(#REF!/H118)+(#REF!/#REF!))</f>
        <v/>
      </c>
      <c r="K118" s="13" t="str">
        <f>IF(H118="","",J118/12)</f>
        <v/>
      </c>
    </row>
    <row r="119" spans="1:46" ht="12" customHeight="1" x14ac:dyDescent="0.25">
      <c r="C119" s="28"/>
      <c r="D119" s="28"/>
      <c r="E119" s="11"/>
      <c r="F119" s="11"/>
      <c r="G119" s="11"/>
      <c r="H119" s="11"/>
      <c r="I119" s="12"/>
      <c r="J119" s="13" t="str">
        <f>IF(H119="","",(#REF!/H119)+(#REF!/#REF!))</f>
        <v/>
      </c>
      <c r="K119" s="13" t="str">
        <f>IF(H119="","",J119/12)</f>
        <v/>
      </c>
    </row>
    <row r="120" spans="1:46" ht="12" customHeight="1" x14ac:dyDescent="0.25">
      <c r="C120" s="32" t="s">
        <v>657</v>
      </c>
      <c r="D120" s="32" t="s">
        <v>657</v>
      </c>
      <c r="E120" s="11"/>
      <c r="F120" s="11"/>
      <c r="G120" s="11"/>
      <c r="H120" s="11"/>
      <c r="I120" s="12"/>
      <c r="J120" s="13" t="str">
        <f>IF(H120="","",(#REF!/H120)+(#REF!/#REF!))</f>
        <v/>
      </c>
      <c r="K120" s="13" t="str">
        <f>IF(H120="","",J120/12)</f>
        <v/>
      </c>
      <c r="W120" s="13"/>
      <c r="X120" s="13"/>
      <c r="Y120" s="13"/>
      <c r="Z120" s="13"/>
      <c r="AA120" s="13"/>
      <c r="AB120" s="13"/>
      <c r="AC120" s="13"/>
      <c r="AD120" s="13"/>
      <c r="AE120" s="13"/>
      <c r="AF120" s="13"/>
      <c r="AG120" s="13"/>
      <c r="AH120" s="13"/>
      <c r="AI120" s="94"/>
      <c r="AJ120" s="15"/>
      <c r="AM120" s="212">
        <v>0</v>
      </c>
      <c r="AN120" s="25">
        <f>+$AI120*AM120</f>
        <v>0</v>
      </c>
    </row>
    <row r="121" spans="1:46" ht="12" customHeight="1" x14ac:dyDescent="0.25">
      <c r="B121" s="1" t="str">
        <f>"camas"&amp;"roll off"&amp;C121</f>
        <v>camasroll offCAHAUL</v>
      </c>
      <c r="C121" s="58" t="s">
        <v>658</v>
      </c>
      <c r="D121" s="58" t="s">
        <v>667</v>
      </c>
      <c r="E121" s="11">
        <v>100.45</v>
      </c>
      <c r="F121" s="11">
        <v>100.45</v>
      </c>
      <c r="G121" s="11">
        <v>105.2</v>
      </c>
      <c r="H121" s="11"/>
      <c r="I121" s="14">
        <v>5122.95</v>
      </c>
      <c r="J121" s="14">
        <v>7431.5</v>
      </c>
      <c r="K121" s="14">
        <v>9442.2999999999993</v>
      </c>
      <c r="L121" s="14">
        <v>7533.75</v>
      </c>
      <c r="M121" s="14">
        <v>9140.9500000000007</v>
      </c>
      <c r="N121" s="14">
        <v>10647.7</v>
      </c>
      <c r="O121" s="14">
        <v>8437.7999999999993</v>
      </c>
      <c r="P121" s="14">
        <v>8940.0499999999993</v>
      </c>
      <c r="Q121" s="14">
        <v>6730.15</v>
      </c>
      <c r="R121" s="14">
        <v>6328.35</v>
      </c>
      <c r="S121" s="14">
        <v>7751.55</v>
      </c>
      <c r="T121" s="14">
        <v>6417.2</v>
      </c>
      <c r="U121" s="16">
        <f t="shared" ref="U121:U134" si="88">SUM(I121:T121)</f>
        <v>93924.25</v>
      </c>
      <c r="W121" s="13">
        <f t="shared" ref="W121:W137" si="89">IFERROR(I121/$E121,0)</f>
        <v>51</v>
      </c>
      <c r="X121" s="13">
        <f t="shared" ref="X121:X137" si="90">IFERROR(J121/$E121,0)</f>
        <v>73.982080637132896</v>
      </c>
      <c r="Y121" s="13">
        <f t="shared" ref="Y121:Y137" si="91">IFERROR(K121/$E121,0)</f>
        <v>93.999999999999986</v>
      </c>
      <c r="Z121" s="13">
        <f t="shared" ref="Z121:Z137" si="92">IFERROR(L121/$F121,0)</f>
        <v>75</v>
      </c>
      <c r="AA121" s="13">
        <f t="shared" ref="AA121:AA137" si="93">IFERROR(M121/$F121,0)</f>
        <v>91</v>
      </c>
      <c r="AB121" s="13">
        <f t="shared" ref="AB121:AB137" si="94">IFERROR(N121/$F121,0)</f>
        <v>106</v>
      </c>
      <c r="AC121" s="13">
        <f t="shared" ref="AC121:AC137" si="95">IFERROR(O121/$F121,0)</f>
        <v>83.999999999999986</v>
      </c>
      <c r="AD121" s="13">
        <f t="shared" ref="AD121:AD137" si="96">IFERROR(P121/$F121,0)</f>
        <v>88.999999999999986</v>
      </c>
      <c r="AE121" s="13">
        <f t="shared" ref="AE121:AE137" si="97">IFERROR(Q121/$F121,0)</f>
        <v>67</v>
      </c>
      <c r="AF121" s="13">
        <f t="shared" ref="AF121:AF137" si="98">IFERROR(R121/$G121,0)</f>
        <v>60.155418250950575</v>
      </c>
      <c r="AG121" s="13">
        <f t="shared" ref="AG121:AG137" si="99">IFERROR(S121/$G121,0)</f>
        <v>73.683935361216726</v>
      </c>
      <c r="AH121" s="13">
        <f t="shared" ref="AH121:AH137" si="100">IFERROR(T121/$G121,0)</f>
        <v>61</v>
      </c>
      <c r="AI121" s="94">
        <f t="shared" ref="AI121:AI127" si="101">+IFERROR(AVERAGE(W121:AH121),0)</f>
        <v>77.151786187441687</v>
      </c>
      <c r="AJ121" s="15">
        <f>+SUM(W121:AH121)</f>
        <v>925.82143424930018</v>
      </c>
    </row>
    <row r="122" spans="1:46" ht="12" customHeight="1" x14ac:dyDescent="0.25">
      <c r="B122" s="1" t="str">
        <f>"camas"&amp;"Roll Off"&amp;C122</f>
        <v>camasRoll OffCAHAULC</v>
      </c>
      <c r="C122" s="58" t="s">
        <v>660</v>
      </c>
      <c r="D122" s="58" t="s">
        <v>669</v>
      </c>
      <c r="E122" s="11">
        <v>100.45</v>
      </c>
      <c r="F122" s="11">
        <v>100.45</v>
      </c>
      <c r="G122" s="11">
        <v>105.2</v>
      </c>
      <c r="H122" s="11"/>
      <c r="I122" s="14">
        <v>1553.15</v>
      </c>
      <c r="J122" s="14">
        <v>1128.1500000000001</v>
      </c>
      <c r="K122" s="14">
        <v>1653.6</v>
      </c>
      <c r="L122" s="14">
        <v>1128.1500000000001</v>
      </c>
      <c r="M122" s="14">
        <v>1228.5999999999999</v>
      </c>
      <c r="N122" s="14">
        <v>1004.5</v>
      </c>
      <c r="O122" s="14">
        <v>1228.5999999999999</v>
      </c>
      <c r="P122" s="14">
        <v>1128.1500000000001</v>
      </c>
      <c r="Q122" s="14">
        <v>1329.05</v>
      </c>
      <c r="R122" s="14">
        <v>803.6</v>
      </c>
      <c r="S122" s="14">
        <v>841.6</v>
      </c>
      <c r="T122" s="14">
        <v>631.20000000000005</v>
      </c>
      <c r="U122" s="16">
        <f t="shared" si="88"/>
        <v>13658.35</v>
      </c>
      <c r="W122" s="13">
        <f t="shared" si="89"/>
        <v>15.461921353907417</v>
      </c>
      <c r="X122" s="13">
        <f t="shared" si="90"/>
        <v>11.230960676953709</v>
      </c>
      <c r="Y122" s="13">
        <f t="shared" si="91"/>
        <v>16.461921353907414</v>
      </c>
      <c r="Z122" s="13">
        <f t="shared" si="92"/>
        <v>11.230960676953709</v>
      </c>
      <c r="AA122" s="13">
        <f t="shared" si="93"/>
        <v>12.230960676953707</v>
      </c>
      <c r="AB122" s="13">
        <f t="shared" si="94"/>
        <v>10</v>
      </c>
      <c r="AC122" s="13">
        <f t="shared" si="95"/>
        <v>12.230960676953707</v>
      </c>
      <c r="AD122" s="13">
        <f t="shared" si="96"/>
        <v>11.230960676953709</v>
      </c>
      <c r="AE122" s="13">
        <f t="shared" si="97"/>
        <v>13.230960676953707</v>
      </c>
      <c r="AF122" s="13">
        <f t="shared" si="98"/>
        <v>7.6387832699619773</v>
      </c>
      <c r="AG122" s="13">
        <f t="shared" si="99"/>
        <v>8</v>
      </c>
      <c r="AH122" s="13">
        <f t="shared" si="100"/>
        <v>6</v>
      </c>
      <c r="AI122" s="94">
        <f t="shared" si="101"/>
        <v>11.245699169958256</v>
      </c>
      <c r="AJ122" s="15">
        <f>+SUM(W122:AH122)</f>
        <v>134.94839003949906</v>
      </c>
    </row>
    <row r="123" spans="1:46" s="241" customFormat="1" ht="12" customHeight="1" x14ac:dyDescent="0.25">
      <c r="B123" s="241" t="str">
        <f>"camas"&amp;"roll off"&amp;C123</f>
        <v>camasroll offCDEM20</v>
      </c>
      <c r="C123" s="232" t="s">
        <v>329</v>
      </c>
      <c r="D123" s="232" t="s">
        <v>374</v>
      </c>
      <c r="E123" s="238">
        <v>69.069999999999993</v>
      </c>
      <c r="F123" s="238">
        <v>69.069999999999993</v>
      </c>
      <c r="G123" s="238">
        <v>72.34</v>
      </c>
      <c r="H123" s="238"/>
      <c r="I123" s="243">
        <v>0</v>
      </c>
      <c r="J123" s="243">
        <v>0</v>
      </c>
      <c r="K123" s="243">
        <v>0</v>
      </c>
      <c r="L123" s="243">
        <v>0</v>
      </c>
      <c r="M123" s="243">
        <v>0</v>
      </c>
      <c r="N123" s="243">
        <v>0</v>
      </c>
      <c r="O123" s="243">
        <v>0</v>
      </c>
      <c r="P123" s="243">
        <v>0</v>
      </c>
      <c r="Q123" s="243">
        <v>0</v>
      </c>
      <c r="R123" s="243">
        <v>0</v>
      </c>
      <c r="S123" s="243">
        <v>21.7</v>
      </c>
      <c r="T123" s="243">
        <v>72.34</v>
      </c>
      <c r="U123" s="233">
        <f t="shared" si="88"/>
        <v>94.04</v>
      </c>
      <c r="W123" s="240">
        <f t="shared" si="89"/>
        <v>0</v>
      </c>
      <c r="X123" s="240">
        <f t="shared" si="90"/>
        <v>0</v>
      </c>
      <c r="Y123" s="240">
        <f t="shared" si="91"/>
        <v>0</v>
      </c>
      <c r="Z123" s="240">
        <f t="shared" si="92"/>
        <v>0</v>
      </c>
      <c r="AA123" s="240">
        <f t="shared" si="93"/>
        <v>0</v>
      </c>
      <c r="AB123" s="240">
        <f t="shared" si="94"/>
        <v>0</v>
      </c>
      <c r="AC123" s="240">
        <f t="shared" si="95"/>
        <v>0</v>
      </c>
      <c r="AD123" s="240">
        <f t="shared" si="96"/>
        <v>0</v>
      </c>
      <c r="AE123" s="240">
        <f t="shared" si="97"/>
        <v>0</v>
      </c>
      <c r="AF123" s="240">
        <f t="shared" si="98"/>
        <v>0</v>
      </c>
      <c r="AG123" s="240">
        <f t="shared" si="99"/>
        <v>0.29997235277854573</v>
      </c>
      <c r="AH123" s="240">
        <f t="shared" si="100"/>
        <v>1</v>
      </c>
      <c r="AI123" s="256">
        <f t="shared" si="101"/>
        <v>0.10833102939821215</v>
      </c>
      <c r="AJ123" s="242">
        <f>+SUM(W123:AH123)</f>
        <v>1.2999723527785458</v>
      </c>
      <c r="AM123" s="241">
        <v>0</v>
      </c>
      <c r="AN123" s="240">
        <f>+$AI123*AM123</f>
        <v>0</v>
      </c>
      <c r="AO123" s="241">
        <v>0</v>
      </c>
      <c r="AP123" s="240">
        <f>+$AI123*AO123</f>
        <v>0</v>
      </c>
      <c r="AQ123" s="241">
        <v>1</v>
      </c>
      <c r="AR123" s="240">
        <f>+$AI123*AQ123</f>
        <v>0.10833102939821215</v>
      </c>
      <c r="AS123" s="241">
        <v>0</v>
      </c>
      <c r="AT123" s="240">
        <f>+$AI123*AS123</f>
        <v>0</v>
      </c>
    </row>
    <row r="124" spans="1:46" s="241" customFormat="1" ht="12" customHeight="1" x14ac:dyDescent="0.25">
      <c r="B124" s="241" t="str">
        <f>"camas"&amp;"roll off"&amp;C124</f>
        <v>camasroll offCDEM30</v>
      </c>
      <c r="C124" s="232" t="s">
        <v>330</v>
      </c>
      <c r="D124" s="232" t="s">
        <v>375</v>
      </c>
      <c r="E124" s="238">
        <v>69.069999999999993</v>
      </c>
      <c r="F124" s="238">
        <v>69.069999999999993</v>
      </c>
      <c r="G124" s="238">
        <v>72.34</v>
      </c>
      <c r="H124" s="238"/>
      <c r="I124" s="243">
        <v>0</v>
      </c>
      <c r="J124" s="243">
        <v>0</v>
      </c>
      <c r="K124" s="243">
        <v>18.41</v>
      </c>
      <c r="L124" s="243">
        <v>0</v>
      </c>
      <c r="M124" s="243">
        <v>0</v>
      </c>
      <c r="N124" s="243">
        <v>0</v>
      </c>
      <c r="O124" s="243">
        <v>0</v>
      </c>
      <c r="P124" s="243">
        <v>0</v>
      </c>
      <c r="Q124" s="243">
        <v>0</v>
      </c>
      <c r="R124" s="243">
        <v>0</v>
      </c>
      <c r="S124" s="243">
        <v>0</v>
      </c>
      <c r="T124" s="243">
        <v>0</v>
      </c>
      <c r="U124" s="233">
        <f>SUM(I124:T124)</f>
        <v>18.41</v>
      </c>
      <c r="W124" s="240">
        <f t="shared" si="89"/>
        <v>0</v>
      </c>
      <c r="X124" s="240">
        <f t="shared" si="90"/>
        <v>0</v>
      </c>
      <c r="Y124" s="240">
        <f t="shared" si="91"/>
        <v>0.26654119009700306</v>
      </c>
      <c r="Z124" s="240">
        <f t="shared" si="92"/>
        <v>0</v>
      </c>
      <c r="AA124" s="240">
        <f t="shared" si="93"/>
        <v>0</v>
      </c>
      <c r="AB124" s="240">
        <f t="shared" si="94"/>
        <v>0</v>
      </c>
      <c r="AC124" s="240">
        <f t="shared" si="95"/>
        <v>0</v>
      </c>
      <c r="AD124" s="240">
        <f t="shared" si="96"/>
        <v>0</v>
      </c>
      <c r="AE124" s="240">
        <f t="shared" si="97"/>
        <v>0</v>
      </c>
      <c r="AF124" s="240">
        <f t="shared" si="98"/>
        <v>0</v>
      </c>
      <c r="AG124" s="240">
        <f t="shared" si="99"/>
        <v>0</v>
      </c>
      <c r="AH124" s="240">
        <f t="shared" si="100"/>
        <v>0</v>
      </c>
      <c r="AI124" s="256">
        <f t="shared" si="101"/>
        <v>2.221176584141692E-2</v>
      </c>
      <c r="AJ124" s="242">
        <f t="shared" ref="AJ124:AJ138" si="102">+SUM(W124:AH124)</f>
        <v>0.26654119009700306</v>
      </c>
      <c r="AM124" s="241">
        <v>0</v>
      </c>
      <c r="AN124" s="240">
        <f t="shared" ref="AN124:AP127" si="103">+$AI124*AM124</f>
        <v>0</v>
      </c>
      <c r="AO124" s="241">
        <v>0</v>
      </c>
      <c r="AP124" s="240">
        <f t="shared" si="103"/>
        <v>0</v>
      </c>
      <c r="AQ124" s="241">
        <v>1</v>
      </c>
      <c r="AR124" s="240">
        <f>+$AI124*AQ124</f>
        <v>2.221176584141692E-2</v>
      </c>
      <c r="AS124" s="241">
        <v>0</v>
      </c>
      <c r="AT124" s="240">
        <f>+$AI124*AS124</f>
        <v>0</v>
      </c>
    </row>
    <row r="125" spans="1:46" s="241" customFormat="1" ht="12" customHeight="1" x14ac:dyDescent="0.25">
      <c r="B125" s="241" t="str">
        <f>"camas"&amp;"roll off"&amp;C125</f>
        <v>camasroll offCDEM40</v>
      </c>
      <c r="C125" s="232" t="s">
        <v>331</v>
      </c>
      <c r="D125" s="232" t="s">
        <v>376</v>
      </c>
      <c r="E125" s="238">
        <v>69.069999999999993</v>
      </c>
      <c r="F125" s="238">
        <v>69.069999999999993</v>
      </c>
      <c r="G125" s="238">
        <v>72.34</v>
      </c>
      <c r="H125" s="238"/>
      <c r="I125" s="243">
        <v>0</v>
      </c>
      <c r="J125" s="243">
        <v>0</v>
      </c>
      <c r="K125" s="243">
        <v>0</v>
      </c>
      <c r="L125" s="243">
        <v>0</v>
      </c>
      <c r="M125" s="243">
        <v>0</v>
      </c>
      <c r="N125" s="243">
        <v>0</v>
      </c>
      <c r="O125" s="243">
        <v>27.63</v>
      </c>
      <c r="P125" s="243">
        <v>297.01</v>
      </c>
      <c r="Q125" s="243">
        <v>237.14</v>
      </c>
      <c r="R125" s="243">
        <v>147.35</v>
      </c>
      <c r="S125" s="243">
        <v>0</v>
      </c>
      <c r="T125" s="243">
        <v>0</v>
      </c>
      <c r="U125" s="233">
        <f>SUM(I125:T125)</f>
        <v>709.13</v>
      </c>
      <c r="W125" s="240">
        <f t="shared" si="89"/>
        <v>0</v>
      </c>
      <c r="X125" s="240">
        <f t="shared" si="90"/>
        <v>0</v>
      </c>
      <c r="Y125" s="240">
        <f t="shared" si="91"/>
        <v>0</v>
      </c>
      <c r="Z125" s="240">
        <f t="shared" si="92"/>
        <v>0</v>
      </c>
      <c r="AA125" s="240">
        <f t="shared" si="93"/>
        <v>0</v>
      </c>
      <c r="AB125" s="240">
        <f t="shared" si="94"/>
        <v>0</v>
      </c>
      <c r="AC125" s="240">
        <f t="shared" si="95"/>
        <v>0.40002895613146089</v>
      </c>
      <c r="AD125" s="240">
        <f t="shared" si="96"/>
        <v>4.3001303025915742</v>
      </c>
      <c r="AE125" s="240">
        <f t="shared" si="97"/>
        <v>3.4333285073114235</v>
      </c>
      <c r="AF125" s="240">
        <f t="shared" si="98"/>
        <v>2.0369090406414152</v>
      </c>
      <c r="AG125" s="240">
        <f t="shared" si="99"/>
        <v>0</v>
      </c>
      <c r="AH125" s="240">
        <f t="shared" si="100"/>
        <v>0</v>
      </c>
      <c r="AI125" s="256">
        <f t="shared" si="101"/>
        <v>0.8475330672229896</v>
      </c>
      <c r="AJ125" s="242">
        <f>+SUM(W125:AH125)</f>
        <v>10.170396806675875</v>
      </c>
      <c r="AM125" s="241">
        <v>0</v>
      </c>
      <c r="AN125" s="240">
        <f>+$AI125*AM125</f>
        <v>0</v>
      </c>
      <c r="AO125" s="241">
        <v>0</v>
      </c>
      <c r="AP125" s="240">
        <f>+$AI125*AO125</f>
        <v>0</v>
      </c>
      <c r="AQ125" s="241">
        <v>1</v>
      </c>
      <c r="AR125" s="240">
        <f>+$AI125*AQ125</f>
        <v>0.8475330672229896</v>
      </c>
      <c r="AS125" s="241">
        <v>0</v>
      </c>
      <c r="AT125" s="240">
        <f>+$AI125*AS125</f>
        <v>0</v>
      </c>
    </row>
    <row r="126" spans="1:46" s="241" customFormat="1" ht="12" customHeight="1" x14ac:dyDescent="0.25">
      <c r="B126" s="241" t="str">
        <f t="shared" ref="B126:B134" si="104">"camas"&amp;"roll off"&amp;C126</f>
        <v>camasroll offCADEM30</v>
      </c>
      <c r="C126" s="232" t="s">
        <v>663</v>
      </c>
      <c r="D126" s="232" t="s">
        <v>375</v>
      </c>
      <c r="E126" s="238">
        <v>69.069999999999993</v>
      </c>
      <c r="F126" s="238">
        <v>69.069999999999993</v>
      </c>
      <c r="G126" s="238">
        <v>72.34</v>
      </c>
      <c r="H126" s="238"/>
      <c r="I126" s="243">
        <v>1008.37</v>
      </c>
      <c r="J126" s="243">
        <v>1326.12</v>
      </c>
      <c r="K126" s="243">
        <v>1491.87</v>
      </c>
      <c r="L126" s="243">
        <v>1604.69</v>
      </c>
      <c r="M126" s="243">
        <v>1291.53</v>
      </c>
      <c r="N126" s="243">
        <v>1095.9099999999999</v>
      </c>
      <c r="O126" s="243">
        <v>1480.39</v>
      </c>
      <c r="P126" s="243">
        <v>1245.56</v>
      </c>
      <c r="Q126" s="243">
        <v>1084.4000000000001</v>
      </c>
      <c r="R126" s="243">
        <v>1192.6199999999999</v>
      </c>
      <c r="S126" s="243">
        <v>1261.1300000000001</v>
      </c>
      <c r="T126" s="243">
        <v>1227.3499999999999</v>
      </c>
      <c r="U126" s="233">
        <f t="shared" si="88"/>
        <v>15309.94</v>
      </c>
      <c r="W126" s="240">
        <f t="shared" si="89"/>
        <v>14.599247140582019</v>
      </c>
      <c r="X126" s="240">
        <f t="shared" si="90"/>
        <v>19.199652526422469</v>
      </c>
      <c r="Y126" s="240">
        <f t="shared" si="91"/>
        <v>21.599391921239324</v>
      </c>
      <c r="Z126" s="240">
        <f t="shared" si="92"/>
        <v>23.232807296945133</v>
      </c>
      <c r="AA126" s="240">
        <f t="shared" si="93"/>
        <v>18.698856232807298</v>
      </c>
      <c r="AB126" s="240">
        <f t="shared" si="94"/>
        <v>15.866657014622845</v>
      </c>
      <c r="AC126" s="240">
        <f t="shared" si="95"/>
        <v>21.433183726654121</v>
      </c>
      <c r="AD126" s="240">
        <f t="shared" si="96"/>
        <v>18.033299551179962</v>
      </c>
      <c r="AE126" s="240">
        <f t="shared" si="97"/>
        <v>15.700014478065734</v>
      </c>
      <c r="AF126" s="240">
        <f t="shared" si="98"/>
        <v>16.486314625380146</v>
      </c>
      <c r="AG126" s="240">
        <f t="shared" si="99"/>
        <v>17.433370196295272</v>
      </c>
      <c r="AH126" s="240">
        <f t="shared" si="100"/>
        <v>16.966408625933092</v>
      </c>
      <c r="AI126" s="256">
        <f t="shared" si="101"/>
        <v>18.270766944677284</v>
      </c>
      <c r="AJ126" s="242">
        <f t="shared" si="102"/>
        <v>219.24920333612741</v>
      </c>
      <c r="AM126" s="241">
        <v>0</v>
      </c>
      <c r="AN126" s="240">
        <f t="shared" si="103"/>
        <v>0</v>
      </c>
      <c r="AO126" s="241">
        <v>0</v>
      </c>
      <c r="AP126" s="240">
        <f t="shared" si="103"/>
        <v>0</v>
      </c>
      <c r="AQ126" s="241">
        <v>1</v>
      </c>
      <c r="AR126" s="240">
        <f>+$AI126*AQ126</f>
        <v>18.270766944677284</v>
      </c>
      <c r="AS126" s="241">
        <v>0</v>
      </c>
      <c r="AT126" s="240">
        <f>+$AI126*AS126</f>
        <v>0</v>
      </c>
    </row>
    <row r="127" spans="1:46" s="241" customFormat="1" ht="12" customHeight="1" x14ac:dyDescent="0.25">
      <c r="B127" s="241" t="str">
        <f t="shared" si="104"/>
        <v>camasroll offCADEM40</v>
      </c>
      <c r="C127" s="232" t="s">
        <v>664</v>
      </c>
      <c r="D127" s="232" t="s">
        <v>376</v>
      </c>
      <c r="E127" s="238">
        <v>69.069999999999993</v>
      </c>
      <c r="F127" s="238">
        <v>69.069999999999993</v>
      </c>
      <c r="G127" s="238">
        <v>72.34</v>
      </c>
      <c r="H127" s="238"/>
      <c r="I127" s="243">
        <v>732.13</v>
      </c>
      <c r="J127" s="243">
        <v>916.3</v>
      </c>
      <c r="K127" s="243">
        <v>1183.3499999999999</v>
      </c>
      <c r="L127" s="243">
        <v>1210.99</v>
      </c>
      <c r="M127" s="243">
        <v>1176.43</v>
      </c>
      <c r="N127" s="243">
        <v>1135.06</v>
      </c>
      <c r="O127" s="243">
        <v>1006.13</v>
      </c>
      <c r="P127" s="243">
        <v>782.8</v>
      </c>
      <c r="Q127" s="243">
        <v>881.79</v>
      </c>
      <c r="R127" s="243">
        <v>764.37</v>
      </c>
      <c r="S127" s="243">
        <v>1034.48</v>
      </c>
      <c r="T127" s="243">
        <v>1128.5</v>
      </c>
      <c r="U127" s="233">
        <f t="shared" si="88"/>
        <v>11952.33</v>
      </c>
      <c r="W127" s="240">
        <f t="shared" si="89"/>
        <v>10.599826263211236</v>
      </c>
      <c r="X127" s="240">
        <f t="shared" si="90"/>
        <v>13.266251628782395</v>
      </c>
      <c r="Y127" s="240">
        <f t="shared" si="91"/>
        <v>17.132619082090635</v>
      </c>
      <c r="Z127" s="240">
        <f t="shared" si="92"/>
        <v>17.5327928188794</v>
      </c>
      <c r="AA127" s="240">
        <f t="shared" si="93"/>
        <v>17.03243086723614</v>
      </c>
      <c r="AB127" s="240">
        <f t="shared" si="94"/>
        <v>16.433473287968727</v>
      </c>
      <c r="AC127" s="240">
        <f t="shared" si="95"/>
        <v>14.566816273345882</v>
      </c>
      <c r="AD127" s="240">
        <f t="shared" si="96"/>
        <v>11.333429853771536</v>
      </c>
      <c r="AE127" s="240">
        <f t="shared" si="97"/>
        <v>12.766613580425656</v>
      </c>
      <c r="AF127" s="240">
        <f t="shared" si="98"/>
        <v>10.566353331490184</v>
      </c>
      <c r="AG127" s="240">
        <f t="shared" si="99"/>
        <v>14.300248824993087</v>
      </c>
      <c r="AH127" s="240">
        <f t="shared" si="100"/>
        <v>15.599944705557091</v>
      </c>
      <c r="AI127" s="256">
        <f t="shared" si="101"/>
        <v>14.260900043145995</v>
      </c>
      <c r="AJ127" s="242">
        <f t="shared" si="102"/>
        <v>171.13080051775194</v>
      </c>
      <c r="AM127" s="241">
        <v>0</v>
      </c>
      <c r="AN127" s="240">
        <f t="shared" si="103"/>
        <v>0</v>
      </c>
      <c r="AO127" s="241">
        <v>0</v>
      </c>
      <c r="AP127" s="240">
        <f t="shared" si="103"/>
        <v>0</v>
      </c>
      <c r="AQ127" s="241">
        <v>1</v>
      </c>
      <c r="AR127" s="240">
        <f>+$AI127*AQ127</f>
        <v>14.260900043145995</v>
      </c>
      <c r="AS127" s="241">
        <v>0</v>
      </c>
      <c r="AT127" s="240">
        <f>+$AI127*AS127</f>
        <v>0</v>
      </c>
    </row>
    <row r="128" spans="1:46" ht="12" customHeight="1" x14ac:dyDescent="0.25">
      <c r="B128" s="1" t="str">
        <f t="shared" si="104"/>
        <v>camasroll offVDTIME</v>
      </c>
      <c r="C128" s="58" t="s">
        <v>342</v>
      </c>
      <c r="D128" s="58" t="s">
        <v>387</v>
      </c>
      <c r="E128" s="11">
        <v>1.75</v>
      </c>
      <c r="F128" s="11">
        <v>1.75</v>
      </c>
      <c r="G128" s="11">
        <v>1.83</v>
      </c>
      <c r="H128" s="11"/>
      <c r="I128" s="14">
        <v>78.75</v>
      </c>
      <c r="J128" s="14">
        <v>525</v>
      </c>
      <c r="K128" s="14">
        <v>554.75</v>
      </c>
      <c r="L128" s="14">
        <v>-343.25</v>
      </c>
      <c r="M128" s="14">
        <v>78.75</v>
      </c>
      <c r="N128" s="14">
        <v>105</v>
      </c>
      <c r="O128" s="14">
        <v>26.25</v>
      </c>
      <c r="P128" s="14">
        <v>52.5</v>
      </c>
      <c r="Q128" s="14">
        <v>105</v>
      </c>
      <c r="R128" s="14">
        <v>26.25</v>
      </c>
      <c r="S128" s="14">
        <v>164.7</v>
      </c>
      <c r="T128" s="14">
        <v>109.8</v>
      </c>
      <c r="U128" s="16">
        <f t="shared" si="88"/>
        <v>1483.5</v>
      </c>
      <c r="W128" s="13">
        <f t="shared" si="89"/>
        <v>45</v>
      </c>
      <c r="X128" s="13">
        <f t="shared" si="90"/>
        <v>300</v>
      </c>
      <c r="Y128" s="13">
        <f t="shared" si="91"/>
        <v>317</v>
      </c>
      <c r="Z128" s="13">
        <f t="shared" si="92"/>
        <v>-196.14285714285714</v>
      </c>
      <c r="AA128" s="13">
        <f t="shared" si="93"/>
        <v>45</v>
      </c>
      <c r="AB128" s="13">
        <f t="shared" si="94"/>
        <v>60</v>
      </c>
      <c r="AC128" s="13">
        <f t="shared" si="95"/>
        <v>15</v>
      </c>
      <c r="AD128" s="13">
        <f t="shared" si="96"/>
        <v>30</v>
      </c>
      <c r="AE128" s="13">
        <f t="shared" si="97"/>
        <v>60</v>
      </c>
      <c r="AF128" s="13">
        <f t="shared" si="98"/>
        <v>14.344262295081966</v>
      </c>
      <c r="AG128" s="13">
        <f t="shared" si="99"/>
        <v>89.999999999999986</v>
      </c>
      <c r="AH128" s="13">
        <f t="shared" si="100"/>
        <v>59.999999999999993</v>
      </c>
      <c r="AI128" s="94">
        <f t="shared" ref="AI128:AI137" si="105">+IFERROR(AVERAGE(W128:AH128),0)</f>
        <v>70.016783762685407</v>
      </c>
      <c r="AJ128" s="15">
        <f t="shared" si="102"/>
        <v>840.20140515222488</v>
      </c>
    </row>
    <row r="129" spans="1:46" ht="12" customHeight="1" x14ac:dyDescent="0.25">
      <c r="B129" s="1" t="str">
        <f t="shared" si="104"/>
        <v>camasroll offCTRV30YD</v>
      </c>
      <c r="C129" s="58" t="s">
        <v>320</v>
      </c>
      <c r="D129" s="58" t="s">
        <v>365</v>
      </c>
      <c r="E129" s="11">
        <v>100.45</v>
      </c>
      <c r="F129" s="11">
        <v>104.68</v>
      </c>
      <c r="G129" s="11">
        <v>105.2</v>
      </c>
      <c r="H129" s="11"/>
      <c r="I129" s="14">
        <v>0</v>
      </c>
      <c r="J129" s="14">
        <v>0</v>
      </c>
      <c r="K129" s="14">
        <v>0</v>
      </c>
      <c r="L129" s="14">
        <v>0</v>
      </c>
      <c r="M129" s="14">
        <v>0</v>
      </c>
      <c r="N129" s="14">
        <v>0</v>
      </c>
      <c r="O129" s="14">
        <v>0</v>
      </c>
      <c r="P129" s="14">
        <v>0</v>
      </c>
      <c r="Q129" s="14">
        <v>0</v>
      </c>
      <c r="R129" s="14">
        <v>0</v>
      </c>
      <c r="S129" s="14">
        <v>0</v>
      </c>
      <c r="T129" s="14">
        <v>105.2</v>
      </c>
      <c r="U129" s="16">
        <f t="shared" si="88"/>
        <v>105.2</v>
      </c>
      <c r="W129" s="13">
        <f t="shared" si="89"/>
        <v>0</v>
      </c>
      <c r="X129" s="13">
        <f t="shared" si="90"/>
        <v>0</v>
      </c>
      <c r="Y129" s="13">
        <f t="shared" si="91"/>
        <v>0</v>
      </c>
      <c r="Z129" s="13">
        <f t="shared" si="92"/>
        <v>0</v>
      </c>
      <c r="AA129" s="13">
        <f t="shared" si="93"/>
        <v>0</v>
      </c>
      <c r="AB129" s="13">
        <f t="shared" si="94"/>
        <v>0</v>
      </c>
      <c r="AC129" s="13">
        <f t="shared" si="95"/>
        <v>0</v>
      </c>
      <c r="AD129" s="13">
        <f t="shared" si="96"/>
        <v>0</v>
      </c>
      <c r="AE129" s="13">
        <f t="shared" si="97"/>
        <v>0</v>
      </c>
      <c r="AF129" s="13">
        <f t="shared" si="98"/>
        <v>0</v>
      </c>
      <c r="AG129" s="13">
        <f t="shared" si="99"/>
        <v>0</v>
      </c>
      <c r="AH129" s="13">
        <f t="shared" si="100"/>
        <v>1</v>
      </c>
      <c r="AI129" s="94">
        <f>+IFERROR(AVERAGE(W129:AH129),0)</f>
        <v>8.3333333333333329E-2</v>
      </c>
      <c r="AJ129" s="15">
        <f>+SUM(W129:AH129)</f>
        <v>1</v>
      </c>
    </row>
    <row r="130" spans="1:46" ht="12" customHeight="1" x14ac:dyDescent="0.25">
      <c r="B130" s="1" t="str">
        <f>"camas"&amp;"roll off"&amp;C130</f>
        <v>camasroll offWAMISC</v>
      </c>
      <c r="C130" s="58" t="s">
        <v>343</v>
      </c>
      <c r="D130" s="58" t="s">
        <v>388</v>
      </c>
      <c r="E130" s="11">
        <v>104.68</v>
      </c>
      <c r="F130" s="11">
        <v>104.68</v>
      </c>
      <c r="G130" s="11">
        <v>109.63</v>
      </c>
      <c r="H130" s="11"/>
      <c r="I130" s="14">
        <v>0</v>
      </c>
      <c r="J130" s="14">
        <v>157.02000000000001</v>
      </c>
      <c r="K130" s="14">
        <v>382.08</v>
      </c>
      <c r="L130" s="14">
        <v>-68.040000000000006</v>
      </c>
      <c r="M130" s="14">
        <v>157.02000000000001</v>
      </c>
      <c r="N130" s="14">
        <v>0</v>
      </c>
      <c r="O130" s="14">
        <v>157.02000000000001</v>
      </c>
      <c r="P130" s="14">
        <v>157.02000000000001</v>
      </c>
      <c r="Q130" s="14">
        <v>157.02000000000001</v>
      </c>
      <c r="R130" s="14">
        <v>0</v>
      </c>
      <c r="S130" s="14">
        <v>164.45</v>
      </c>
      <c r="T130" s="14">
        <v>137.04</v>
      </c>
      <c r="U130" s="16">
        <f>SUM(I130:T130)</f>
        <v>1400.63</v>
      </c>
      <c r="W130" s="13">
        <f t="shared" si="89"/>
        <v>0</v>
      </c>
      <c r="X130" s="13">
        <f t="shared" si="90"/>
        <v>1.5</v>
      </c>
      <c r="Y130" s="13">
        <f t="shared" si="91"/>
        <v>3.6499808941536105</v>
      </c>
      <c r="Z130" s="13">
        <f t="shared" si="92"/>
        <v>-0.64998089415361104</v>
      </c>
      <c r="AA130" s="13">
        <f t="shared" si="93"/>
        <v>1.5</v>
      </c>
      <c r="AB130" s="13">
        <f t="shared" si="94"/>
        <v>0</v>
      </c>
      <c r="AC130" s="13">
        <f t="shared" si="95"/>
        <v>1.5</v>
      </c>
      <c r="AD130" s="13">
        <f t="shared" si="96"/>
        <v>1.5</v>
      </c>
      <c r="AE130" s="13">
        <f t="shared" si="97"/>
        <v>1.5</v>
      </c>
      <c r="AF130" s="13">
        <f t="shared" si="98"/>
        <v>0</v>
      </c>
      <c r="AG130" s="13">
        <f t="shared" si="99"/>
        <v>1.5000456079540272</v>
      </c>
      <c r="AH130" s="13">
        <f t="shared" si="100"/>
        <v>1.2500228039770136</v>
      </c>
      <c r="AI130" s="94">
        <f t="shared" si="105"/>
        <v>1.1041723676609201</v>
      </c>
      <c r="AJ130" s="15">
        <f t="shared" si="102"/>
        <v>13.250068411931041</v>
      </c>
    </row>
    <row r="131" spans="1:46" ht="12" customHeight="1" x14ac:dyDescent="0.25">
      <c r="B131" s="1" t="str">
        <f>"camas"&amp;"roll off"&amp;C131</f>
        <v>camasroll offCADEMLID</v>
      </c>
      <c r="C131" s="58" t="s">
        <v>665</v>
      </c>
      <c r="D131" s="58" t="s">
        <v>670</v>
      </c>
      <c r="E131" s="11">
        <v>69.069999999999993</v>
      </c>
      <c r="F131" s="11">
        <v>69.069999999999993</v>
      </c>
      <c r="G131" s="11">
        <v>72.34</v>
      </c>
      <c r="H131" s="11"/>
      <c r="I131" s="14">
        <v>0</v>
      </c>
      <c r="J131" s="14">
        <v>0</v>
      </c>
      <c r="K131" s="14">
        <v>0</v>
      </c>
      <c r="L131" s="14">
        <v>0</v>
      </c>
      <c r="M131" s="14">
        <v>0</v>
      </c>
      <c r="N131" s="14">
        <v>0</v>
      </c>
      <c r="O131" s="14">
        <v>0</v>
      </c>
      <c r="P131" s="14">
        <v>0</v>
      </c>
      <c r="Q131" s="14">
        <v>41.44</v>
      </c>
      <c r="R131" s="14">
        <v>69.069999999999993</v>
      </c>
      <c r="S131" s="14">
        <v>72.34</v>
      </c>
      <c r="T131" s="14">
        <v>72.34</v>
      </c>
      <c r="U131" s="16">
        <f>SUM(I131:T131)</f>
        <v>255.19</v>
      </c>
      <c r="W131" s="13">
        <f t="shared" si="89"/>
        <v>0</v>
      </c>
      <c r="X131" s="13">
        <f t="shared" si="90"/>
        <v>0</v>
      </c>
      <c r="Y131" s="13">
        <f t="shared" si="91"/>
        <v>0</v>
      </c>
      <c r="Z131" s="13">
        <f t="shared" si="92"/>
        <v>0</v>
      </c>
      <c r="AA131" s="13">
        <f t="shared" si="93"/>
        <v>0</v>
      </c>
      <c r="AB131" s="13">
        <f t="shared" si="94"/>
        <v>0</v>
      </c>
      <c r="AC131" s="13">
        <f t="shared" si="95"/>
        <v>0</v>
      </c>
      <c r="AD131" s="13">
        <f t="shared" si="96"/>
        <v>0</v>
      </c>
      <c r="AE131" s="13">
        <f t="shared" si="97"/>
        <v>0.59997104386853917</v>
      </c>
      <c r="AF131" s="13">
        <f t="shared" si="98"/>
        <v>0.95479679292231112</v>
      </c>
      <c r="AG131" s="13">
        <f t="shared" si="99"/>
        <v>1</v>
      </c>
      <c r="AH131" s="13">
        <f t="shared" si="100"/>
        <v>1</v>
      </c>
      <c r="AI131" s="94">
        <f>+IFERROR(AVERAGE(W131:AH131),0)</f>
        <v>0.29623065306590418</v>
      </c>
      <c r="AJ131" s="15">
        <f>+SUM(W131:AH131)</f>
        <v>3.5547678367908504</v>
      </c>
    </row>
    <row r="132" spans="1:46" ht="12" customHeight="1" x14ac:dyDescent="0.25">
      <c r="B132" s="1" t="str">
        <f>"camas"&amp;"roll off"&amp;C132</f>
        <v>camasroll offDBPTRIP</v>
      </c>
      <c r="C132" s="58" t="s">
        <v>1283</v>
      </c>
      <c r="D132" s="58" t="s">
        <v>1284</v>
      </c>
      <c r="E132" s="11">
        <v>95.6</v>
      </c>
      <c r="F132" s="11">
        <v>95.6</v>
      </c>
      <c r="G132" s="11">
        <v>95.6</v>
      </c>
      <c r="H132" s="11"/>
      <c r="I132" s="14">
        <v>0</v>
      </c>
      <c r="J132" s="14">
        <v>191.2</v>
      </c>
      <c r="K132" s="14">
        <v>286.8</v>
      </c>
      <c r="L132" s="14">
        <v>95.6</v>
      </c>
      <c r="M132" s="14">
        <v>95.6</v>
      </c>
      <c r="N132" s="14">
        <v>0</v>
      </c>
      <c r="O132" s="14">
        <v>95.6</v>
      </c>
      <c r="P132" s="14">
        <v>95.6</v>
      </c>
      <c r="Q132" s="14">
        <v>95.6</v>
      </c>
      <c r="R132" s="14">
        <v>0</v>
      </c>
      <c r="S132" s="14">
        <v>95.6</v>
      </c>
      <c r="T132" s="14">
        <v>95.6</v>
      </c>
      <c r="U132" s="16">
        <f>SUM(I132:T132)</f>
        <v>1147.2</v>
      </c>
      <c r="W132" s="13">
        <f t="shared" si="89"/>
        <v>0</v>
      </c>
      <c r="X132" s="13">
        <f t="shared" si="90"/>
        <v>2</v>
      </c>
      <c r="Y132" s="13">
        <f t="shared" si="91"/>
        <v>3.0000000000000004</v>
      </c>
      <c r="Z132" s="13">
        <f t="shared" si="92"/>
        <v>1</v>
      </c>
      <c r="AA132" s="13">
        <f t="shared" si="93"/>
        <v>1</v>
      </c>
      <c r="AB132" s="13">
        <f t="shared" si="94"/>
        <v>0</v>
      </c>
      <c r="AC132" s="13">
        <f t="shared" si="95"/>
        <v>1</v>
      </c>
      <c r="AD132" s="13">
        <f t="shared" si="96"/>
        <v>1</v>
      </c>
      <c r="AE132" s="13">
        <f t="shared" si="97"/>
        <v>1</v>
      </c>
      <c r="AF132" s="13">
        <f t="shared" si="98"/>
        <v>0</v>
      </c>
      <c r="AG132" s="13">
        <f t="shared" si="99"/>
        <v>1</v>
      </c>
      <c r="AH132" s="13">
        <f t="shared" si="100"/>
        <v>1</v>
      </c>
      <c r="AI132" s="94">
        <f>+IFERROR(AVERAGE(W132:AH132),0)</f>
        <v>1</v>
      </c>
      <c r="AJ132" s="15">
        <f>+SUM(W132:AH132)</f>
        <v>12</v>
      </c>
    </row>
    <row r="133" spans="1:46" ht="12" customHeight="1" x14ac:dyDescent="0.25">
      <c r="B133" s="1" t="str">
        <f>"camas"&amp;"roll off"&amp;C133</f>
        <v>camasroll offMILE</v>
      </c>
      <c r="C133" s="58" t="s">
        <v>340</v>
      </c>
      <c r="D133" s="58" t="s">
        <v>385</v>
      </c>
      <c r="E133" s="11">
        <v>2.5499999999999998</v>
      </c>
      <c r="F133" s="11">
        <v>2.5499999999999998</v>
      </c>
      <c r="G133" s="11">
        <v>2.5499999999999998</v>
      </c>
      <c r="H133" s="11"/>
      <c r="I133" s="14">
        <v>0</v>
      </c>
      <c r="J133" s="14">
        <v>329.73</v>
      </c>
      <c r="K133" s="14">
        <v>552.45000000000005</v>
      </c>
      <c r="L133" s="14">
        <v>-719.37</v>
      </c>
      <c r="M133" s="14">
        <v>54.27</v>
      </c>
      <c r="N133" s="14">
        <v>0</v>
      </c>
      <c r="O133" s="14">
        <v>54.06</v>
      </c>
      <c r="P133" s="14">
        <v>54.06</v>
      </c>
      <c r="Q133" s="14">
        <v>0</v>
      </c>
      <c r="R133" s="14">
        <v>54.06</v>
      </c>
      <c r="S133" s="14">
        <v>54.06</v>
      </c>
      <c r="T133" s="14">
        <v>54.06</v>
      </c>
      <c r="U133" s="16">
        <f>SUM(I133:T133)</f>
        <v>487.38000000000011</v>
      </c>
      <c r="W133" s="13">
        <f t="shared" si="89"/>
        <v>0</v>
      </c>
      <c r="X133" s="13">
        <f t="shared" si="90"/>
        <v>129.30588235294118</v>
      </c>
      <c r="Y133" s="13">
        <f t="shared" si="91"/>
        <v>216.64705882352945</v>
      </c>
      <c r="Z133" s="13">
        <f t="shared" si="92"/>
        <v>-282.10588235294119</v>
      </c>
      <c r="AA133" s="13">
        <f t="shared" si="93"/>
        <v>21.282352941176473</v>
      </c>
      <c r="AB133" s="13">
        <f t="shared" si="94"/>
        <v>0</v>
      </c>
      <c r="AC133" s="13">
        <f t="shared" si="95"/>
        <v>21.200000000000003</v>
      </c>
      <c r="AD133" s="13">
        <f t="shared" si="96"/>
        <v>21.200000000000003</v>
      </c>
      <c r="AE133" s="13">
        <f t="shared" si="97"/>
        <v>0</v>
      </c>
      <c r="AF133" s="13">
        <f t="shared" si="98"/>
        <v>21.200000000000003</v>
      </c>
      <c r="AG133" s="13">
        <f t="shared" si="99"/>
        <v>21.200000000000003</v>
      </c>
      <c r="AH133" s="13">
        <f t="shared" si="100"/>
        <v>21.200000000000003</v>
      </c>
      <c r="AI133" s="94">
        <f>+IFERROR(AVERAGE(W133:AH133),0)</f>
        <v>15.927450980392157</v>
      </c>
      <c r="AJ133" s="15">
        <f>+SUM(W133:AH133)</f>
        <v>191.12941176470588</v>
      </c>
    </row>
    <row r="134" spans="1:46" ht="12" customHeight="1" x14ac:dyDescent="0.25">
      <c r="B134" s="1" t="str">
        <f t="shared" si="104"/>
        <v>camasroll offDBTRIP</v>
      </c>
      <c r="C134" s="58" t="s">
        <v>344</v>
      </c>
      <c r="D134" s="58" t="s">
        <v>389</v>
      </c>
      <c r="E134" s="11">
        <v>104.68</v>
      </c>
      <c r="F134" s="11">
        <v>104.68</v>
      </c>
      <c r="G134" s="11">
        <v>109.63</v>
      </c>
      <c r="H134" s="11"/>
      <c r="I134" s="14">
        <v>1884.24</v>
      </c>
      <c r="J134" s="14">
        <v>1988.92</v>
      </c>
      <c r="K134" s="14">
        <v>2093.6</v>
      </c>
      <c r="L134" s="14">
        <v>864.68</v>
      </c>
      <c r="M134" s="14">
        <v>2065.6799999999998</v>
      </c>
      <c r="N134" s="14">
        <v>942.12</v>
      </c>
      <c r="O134" s="14">
        <v>1046.8</v>
      </c>
      <c r="P134" s="14">
        <v>837.44</v>
      </c>
      <c r="Q134" s="14">
        <v>1046.8</v>
      </c>
      <c r="R134" s="14">
        <v>732.76</v>
      </c>
      <c r="S134" s="14">
        <v>1200.98</v>
      </c>
      <c r="T134" s="14">
        <v>1315.56</v>
      </c>
      <c r="U134" s="16">
        <f t="shared" si="88"/>
        <v>16019.58</v>
      </c>
      <c r="W134" s="13">
        <f t="shared" si="89"/>
        <v>18</v>
      </c>
      <c r="X134" s="13">
        <f t="shared" si="90"/>
        <v>19</v>
      </c>
      <c r="Y134" s="13">
        <f t="shared" si="91"/>
        <v>19.999999999999996</v>
      </c>
      <c r="Z134" s="13">
        <f t="shared" si="92"/>
        <v>8.2602216278181118</v>
      </c>
      <c r="AA134" s="13">
        <f t="shared" si="93"/>
        <v>19.733282384409627</v>
      </c>
      <c r="AB134" s="13">
        <f t="shared" si="94"/>
        <v>9</v>
      </c>
      <c r="AC134" s="13">
        <f t="shared" si="95"/>
        <v>9.9999999999999982</v>
      </c>
      <c r="AD134" s="13">
        <f t="shared" si="96"/>
        <v>8</v>
      </c>
      <c r="AE134" s="13">
        <f t="shared" si="97"/>
        <v>9.9999999999999982</v>
      </c>
      <c r="AF134" s="13">
        <f t="shared" si="98"/>
        <v>6.6839368785916262</v>
      </c>
      <c r="AG134" s="13">
        <f t="shared" si="99"/>
        <v>10.95484812551309</v>
      </c>
      <c r="AH134" s="13">
        <f t="shared" si="100"/>
        <v>12</v>
      </c>
      <c r="AI134" s="94">
        <f t="shared" si="105"/>
        <v>12.63602408469437</v>
      </c>
      <c r="AJ134" s="15">
        <f t="shared" si="102"/>
        <v>151.63228901633244</v>
      </c>
    </row>
    <row r="135" spans="1:46" s="45" customFormat="1" x14ac:dyDescent="0.25">
      <c r="B135" s="1" t="str">
        <f>"camas"&amp;"roll off"&amp;C135</f>
        <v>camasroll offCTDEM30</v>
      </c>
      <c r="C135" s="58" t="s">
        <v>334</v>
      </c>
      <c r="D135" s="58" t="s">
        <v>379</v>
      </c>
      <c r="E135" s="11">
        <v>69.069999999999993</v>
      </c>
      <c r="F135" s="11">
        <v>69.069999999999993</v>
      </c>
      <c r="G135" s="11">
        <v>69.069999999999993</v>
      </c>
      <c r="H135" s="43"/>
      <c r="I135" s="14">
        <v>0</v>
      </c>
      <c r="J135" s="14">
        <v>0</v>
      </c>
      <c r="K135" s="14">
        <v>0</v>
      </c>
      <c r="L135" s="14">
        <v>63.75</v>
      </c>
      <c r="M135" s="14">
        <v>-63.75</v>
      </c>
      <c r="N135" s="14">
        <v>0</v>
      </c>
      <c r="O135" s="14">
        <v>0</v>
      </c>
      <c r="P135" s="14">
        <v>0</v>
      </c>
      <c r="Q135" s="14">
        <v>0</v>
      </c>
      <c r="R135" s="14">
        <v>0</v>
      </c>
      <c r="S135" s="14">
        <v>0</v>
      </c>
      <c r="T135" s="14">
        <v>0</v>
      </c>
      <c r="U135" s="16">
        <f>SUM(I135:T135)</f>
        <v>0</v>
      </c>
      <c r="W135" s="13">
        <f t="shared" si="89"/>
        <v>0</v>
      </c>
      <c r="X135" s="13">
        <f t="shared" si="90"/>
        <v>0</v>
      </c>
      <c r="Y135" s="13">
        <f t="shared" si="91"/>
        <v>0</v>
      </c>
      <c r="Z135" s="13">
        <f t="shared" si="92"/>
        <v>0.92297669031417406</v>
      </c>
      <c r="AA135" s="13">
        <f t="shared" si="93"/>
        <v>-0.92297669031417406</v>
      </c>
      <c r="AB135" s="13">
        <f t="shared" si="94"/>
        <v>0</v>
      </c>
      <c r="AC135" s="13">
        <f t="shared" si="95"/>
        <v>0</v>
      </c>
      <c r="AD135" s="13">
        <f t="shared" si="96"/>
        <v>0</v>
      </c>
      <c r="AE135" s="13">
        <f t="shared" si="97"/>
        <v>0</v>
      </c>
      <c r="AF135" s="13">
        <f t="shared" si="98"/>
        <v>0</v>
      </c>
      <c r="AG135" s="13">
        <f t="shared" si="99"/>
        <v>0</v>
      </c>
      <c r="AH135" s="13">
        <f t="shared" si="100"/>
        <v>0</v>
      </c>
      <c r="AI135" s="94">
        <f t="shared" si="105"/>
        <v>0</v>
      </c>
      <c r="AJ135" s="15">
        <f t="shared" si="102"/>
        <v>0</v>
      </c>
      <c r="AK135" s="1"/>
    </row>
    <row r="136" spans="1:46" s="45" customFormat="1" x14ac:dyDescent="0.25">
      <c r="B136" s="1" t="str">
        <f>"camas"&amp;"roll off"&amp;C136</f>
        <v>camasroll offWAHAULC</v>
      </c>
      <c r="C136" s="58" t="s">
        <v>984</v>
      </c>
      <c r="D136" s="58" t="s">
        <v>992</v>
      </c>
      <c r="E136" s="11">
        <v>69.069999999999993</v>
      </c>
      <c r="F136" s="11">
        <v>69.069999999999993</v>
      </c>
      <c r="G136" s="11">
        <v>69.069999999999993</v>
      </c>
      <c r="H136" s="43"/>
      <c r="I136" s="14">
        <v>0</v>
      </c>
      <c r="J136" s="14">
        <v>0</v>
      </c>
      <c r="K136" s="14">
        <v>0</v>
      </c>
      <c r="L136" s="14">
        <v>359.29</v>
      </c>
      <c r="M136" s="14">
        <v>-359.29</v>
      </c>
      <c r="N136" s="14">
        <v>0</v>
      </c>
      <c r="O136" s="14">
        <v>0</v>
      </c>
      <c r="P136" s="14">
        <v>0</v>
      </c>
      <c r="Q136" s="14">
        <v>0</v>
      </c>
      <c r="R136" s="14">
        <v>0</v>
      </c>
      <c r="S136" s="14">
        <v>0</v>
      </c>
      <c r="T136" s="14">
        <v>0</v>
      </c>
      <c r="U136" s="16">
        <f>SUM(I136:T136)</f>
        <v>0</v>
      </c>
      <c r="W136" s="13">
        <f t="shared" si="89"/>
        <v>0</v>
      </c>
      <c r="X136" s="13">
        <f t="shared" si="90"/>
        <v>0</v>
      </c>
      <c r="Y136" s="13">
        <f t="shared" si="91"/>
        <v>0</v>
      </c>
      <c r="Z136" s="13">
        <f t="shared" si="92"/>
        <v>5.2018242362820333</v>
      </c>
      <c r="AA136" s="13">
        <f t="shared" si="93"/>
        <v>-5.2018242362820333</v>
      </c>
      <c r="AB136" s="13">
        <f t="shared" si="94"/>
        <v>0</v>
      </c>
      <c r="AC136" s="13">
        <f t="shared" si="95"/>
        <v>0</v>
      </c>
      <c r="AD136" s="13">
        <f t="shared" si="96"/>
        <v>0</v>
      </c>
      <c r="AE136" s="13">
        <f t="shared" si="97"/>
        <v>0</v>
      </c>
      <c r="AF136" s="13">
        <f t="shared" si="98"/>
        <v>0</v>
      </c>
      <c r="AG136" s="13">
        <f t="shared" si="99"/>
        <v>0</v>
      </c>
      <c r="AH136" s="13">
        <f t="shared" si="100"/>
        <v>0</v>
      </c>
      <c r="AI136" s="94">
        <f>+IFERROR(AVERAGE(W136:AH136),0)</f>
        <v>0</v>
      </c>
      <c r="AJ136" s="15">
        <f>+SUM(W136:AH136)</f>
        <v>0</v>
      </c>
      <c r="AK136" s="1"/>
    </row>
    <row r="137" spans="1:46" s="45" customFormat="1" x14ac:dyDescent="0.25">
      <c r="B137" s="1" t="str">
        <f>"camas"&amp;"roll off"&amp;C137</f>
        <v>camasroll offDRMIX</v>
      </c>
      <c r="C137" s="58" t="s">
        <v>723</v>
      </c>
      <c r="D137" s="58" t="s">
        <v>724</v>
      </c>
      <c r="E137" s="11">
        <v>3</v>
      </c>
      <c r="F137" s="11">
        <v>3</v>
      </c>
      <c r="G137" s="11">
        <v>3</v>
      </c>
      <c r="H137" s="43"/>
      <c r="I137" s="14">
        <v>74.88</v>
      </c>
      <c r="J137" s="14">
        <v>279.48</v>
      </c>
      <c r="K137" s="14">
        <v>54.75</v>
      </c>
      <c r="L137" s="14">
        <v>135.24</v>
      </c>
      <c r="M137" s="14">
        <v>83.95</v>
      </c>
      <c r="N137" s="14">
        <v>100.8</v>
      </c>
      <c r="O137" s="14">
        <v>89.54</v>
      </c>
      <c r="P137" s="14">
        <v>105</v>
      </c>
      <c r="Q137" s="14">
        <v>122.61</v>
      </c>
      <c r="R137" s="14">
        <v>65.489999999999995</v>
      </c>
      <c r="S137" s="14">
        <v>56</v>
      </c>
      <c r="T137" s="14">
        <v>268.26</v>
      </c>
      <c r="U137" s="16">
        <f>SUM(I137:T137)</f>
        <v>1436</v>
      </c>
      <c r="W137" s="13">
        <f t="shared" si="89"/>
        <v>24.959999999999997</v>
      </c>
      <c r="X137" s="13">
        <f t="shared" si="90"/>
        <v>93.160000000000011</v>
      </c>
      <c r="Y137" s="13">
        <f t="shared" si="91"/>
        <v>18.25</v>
      </c>
      <c r="Z137" s="13">
        <f t="shared" si="92"/>
        <v>45.080000000000005</v>
      </c>
      <c r="AA137" s="13">
        <f t="shared" si="93"/>
        <v>27.983333333333334</v>
      </c>
      <c r="AB137" s="13">
        <f t="shared" si="94"/>
        <v>33.6</v>
      </c>
      <c r="AC137" s="13">
        <f t="shared" si="95"/>
        <v>29.846666666666668</v>
      </c>
      <c r="AD137" s="13">
        <f t="shared" si="96"/>
        <v>35</v>
      </c>
      <c r="AE137" s="13">
        <f t="shared" si="97"/>
        <v>40.869999999999997</v>
      </c>
      <c r="AF137" s="13">
        <f t="shared" si="98"/>
        <v>21.83</v>
      </c>
      <c r="AG137" s="13">
        <f t="shared" si="99"/>
        <v>18.666666666666668</v>
      </c>
      <c r="AH137" s="13">
        <f t="shared" si="100"/>
        <v>89.42</v>
      </c>
      <c r="AI137" s="94">
        <f t="shared" si="105"/>
        <v>39.888888888888893</v>
      </c>
      <c r="AJ137" s="15">
        <f t="shared" si="102"/>
        <v>478.66666666666669</v>
      </c>
      <c r="AK137" s="1"/>
    </row>
    <row r="138" spans="1:46" ht="12" customHeight="1" x14ac:dyDescent="0.25">
      <c r="C138" s="30"/>
      <c r="D138" s="30"/>
      <c r="E138" s="11"/>
      <c r="F138" s="11"/>
      <c r="G138" s="11"/>
      <c r="H138" s="11"/>
      <c r="I138" s="12"/>
      <c r="J138" s="13" t="str">
        <f>IF(H138="","",(#REF!/H138)+(#REF!/#REF!))</f>
        <v/>
      </c>
      <c r="K138" s="13" t="str">
        <f>IF(H138="","",J138/12)</f>
        <v/>
      </c>
      <c r="AJ138" s="15">
        <f t="shared" si="102"/>
        <v>0</v>
      </c>
    </row>
    <row r="139" spans="1:46" ht="12" customHeight="1" x14ac:dyDescent="0.2">
      <c r="C139" s="26"/>
      <c r="D139" s="31" t="s">
        <v>15</v>
      </c>
      <c r="E139" s="11"/>
      <c r="F139" s="11"/>
      <c r="G139" s="11"/>
      <c r="H139" s="11"/>
      <c r="I139" s="23">
        <f t="shared" ref="I139:U139" si="106">SUM(I121:I138)</f>
        <v>10454.469999999999</v>
      </c>
      <c r="J139" s="23">
        <f t="shared" si="106"/>
        <v>14273.42</v>
      </c>
      <c r="K139" s="23">
        <f t="shared" si="106"/>
        <v>17713.96</v>
      </c>
      <c r="L139" s="23">
        <f t="shared" si="106"/>
        <v>11865.48</v>
      </c>
      <c r="M139" s="23">
        <f t="shared" si="106"/>
        <v>14949.740000000003</v>
      </c>
      <c r="N139" s="23">
        <f t="shared" si="106"/>
        <v>15031.09</v>
      </c>
      <c r="O139" s="23">
        <f t="shared" si="106"/>
        <v>13649.819999999998</v>
      </c>
      <c r="P139" s="23">
        <f t="shared" si="106"/>
        <v>13695.189999999999</v>
      </c>
      <c r="Q139" s="23">
        <f t="shared" si="106"/>
        <v>11831</v>
      </c>
      <c r="R139" s="23">
        <f t="shared" si="106"/>
        <v>10183.920000000002</v>
      </c>
      <c r="S139" s="23">
        <f t="shared" si="106"/>
        <v>12718.59</v>
      </c>
      <c r="T139" s="23">
        <f t="shared" si="106"/>
        <v>11634.45</v>
      </c>
      <c r="U139" s="23">
        <f t="shared" si="106"/>
        <v>158001.13000000003</v>
      </c>
      <c r="W139" s="182">
        <f t="shared" ref="W139:AJ139" si="107">SUM(W124:W127)</f>
        <v>25.199073403793257</v>
      </c>
      <c r="X139" s="182">
        <f t="shared" si="107"/>
        <v>32.465904155204868</v>
      </c>
      <c r="Y139" s="182">
        <f t="shared" si="107"/>
        <v>38.99855219342696</v>
      </c>
      <c r="Z139" s="182">
        <f t="shared" si="107"/>
        <v>40.765600115824533</v>
      </c>
      <c r="AA139" s="182">
        <f t="shared" si="107"/>
        <v>35.731287100043438</v>
      </c>
      <c r="AB139" s="182">
        <f t="shared" si="107"/>
        <v>32.300130302591569</v>
      </c>
      <c r="AC139" s="182">
        <f t="shared" si="107"/>
        <v>36.400028956131464</v>
      </c>
      <c r="AD139" s="182">
        <f t="shared" si="107"/>
        <v>33.666859707543068</v>
      </c>
      <c r="AE139" s="182">
        <f t="shared" si="107"/>
        <v>31.899956565802814</v>
      </c>
      <c r="AF139" s="182">
        <f t="shared" si="107"/>
        <v>29.089576997511745</v>
      </c>
      <c r="AG139" s="182">
        <f t="shared" si="107"/>
        <v>31.733619021288359</v>
      </c>
      <c r="AH139" s="182">
        <f t="shared" si="107"/>
        <v>32.566353331490184</v>
      </c>
      <c r="AI139" s="182">
        <f t="shared" si="107"/>
        <v>33.401411820887688</v>
      </c>
      <c r="AJ139" s="182">
        <f t="shared" si="107"/>
        <v>400.81694185065226</v>
      </c>
      <c r="AN139" s="186">
        <f>SUM(AN124:AN137)</f>
        <v>0</v>
      </c>
      <c r="AP139" s="186">
        <f>SUM(AP124:AP137)</f>
        <v>0</v>
      </c>
      <c r="AR139" s="186">
        <f>SUM(AR124:AR137)</f>
        <v>33.401411820887688</v>
      </c>
      <c r="AT139" s="186">
        <f>SUM(AT124:AT137)</f>
        <v>0</v>
      </c>
    </row>
    <row r="140" spans="1:46" ht="12" customHeight="1" x14ac:dyDescent="0.25">
      <c r="C140" s="26"/>
      <c r="D140" s="31"/>
      <c r="E140" s="11"/>
      <c r="F140" s="11"/>
      <c r="G140" s="11"/>
      <c r="H140" s="11"/>
      <c r="I140" s="41"/>
      <c r="J140" s="41"/>
      <c r="K140" s="41"/>
      <c r="L140" s="41"/>
      <c r="M140" s="41"/>
      <c r="N140" s="41"/>
      <c r="O140" s="41"/>
      <c r="P140" s="41"/>
      <c r="Q140" s="41"/>
      <c r="R140" s="41"/>
      <c r="S140" s="41"/>
      <c r="T140" s="41"/>
      <c r="W140" s="25"/>
      <c r="X140" s="25"/>
      <c r="Y140" s="25"/>
      <c r="Z140" s="25"/>
      <c r="AA140" s="25"/>
      <c r="AB140" s="25"/>
      <c r="AC140" s="25"/>
      <c r="AD140" s="25"/>
      <c r="AE140" s="25"/>
      <c r="AF140" s="25"/>
      <c r="AG140" s="25"/>
      <c r="AH140" s="25"/>
    </row>
    <row r="141" spans="1:46" s="45" customFormat="1" ht="12.75" x14ac:dyDescent="0.2">
      <c r="C141" s="42" t="s">
        <v>42</v>
      </c>
      <c r="D141" s="42" t="s">
        <v>42</v>
      </c>
      <c r="E141" s="11"/>
      <c r="F141" s="11"/>
      <c r="G141" s="11"/>
      <c r="H141" s="43"/>
      <c r="I141" s="46"/>
      <c r="J141" s="54"/>
      <c r="K141" s="54"/>
      <c r="L141" s="46"/>
      <c r="M141" s="49"/>
      <c r="U141" s="16"/>
      <c r="AJ141" s="1"/>
      <c r="AK141" s="1"/>
    </row>
    <row r="142" spans="1:46" s="45" customFormat="1" x14ac:dyDescent="0.25">
      <c r="A142" s="45" t="str">
        <f t="shared" ref="A142:A147" si="108">"all"&amp;"roll off"&amp;C142</f>
        <v>allroll offDRHAUL15</v>
      </c>
      <c r="B142" s="1" t="str">
        <f t="shared" ref="B142:B147" si="109">"camas"&amp;"roll off"&amp;C142</f>
        <v>camasroll offDRHAUL15</v>
      </c>
      <c r="C142" s="58" t="s">
        <v>618</v>
      </c>
      <c r="D142" s="58" t="s">
        <v>629</v>
      </c>
      <c r="E142" s="11">
        <v>240.5</v>
      </c>
      <c r="F142" s="11">
        <v>252.53000000000003</v>
      </c>
      <c r="G142" s="11">
        <v>252.53</v>
      </c>
      <c r="H142" s="55"/>
      <c r="I142" s="14">
        <v>1362</v>
      </c>
      <c r="J142" s="14">
        <v>1683.5</v>
      </c>
      <c r="K142" s="14">
        <v>1362</v>
      </c>
      <c r="L142" s="14">
        <v>1430.12</v>
      </c>
      <c r="M142" s="14">
        <v>1935.18</v>
      </c>
      <c r="N142" s="14">
        <v>757.59</v>
      </c>
      <c r="O142" s="14">
        <v>1177.5899999999999</v>
      </c>
      <c r="P142" s="14">
        <v>1177.5899999999999</v>
      </c>
      <c r="Q142" s="14">
        <v>1177.5899999999999</v>
      </c>
      <c r="R142" s="14">
        <v>1010.12</v>
      </c>
      <c r="S142" s="14">
        <v>1455.12</v>
      </c>
      <c r="T142" s="14">
        <v>1707.65</v>
      </c>
      <c r="U142" s="16">
        <f t="shared" ref="U142:U147" si="110">SUM(I142:T142)</f>
        <v>16236.050000000001</v>
      </c>
      <c r="W142" s="13">
        <f t="shared" ref="W142:W147" si="111">IFERROR(I142/$E142,0)</f>
        <v>5.6632016632016633</v>
      </c>
      <c r="X142" s="13">
        <f t="shared" ref="X142:X147" si="112">IFERROR(J142/$E142,0)</f>
        <v>7</v>
      </c>
      <c r="Y142" s="13">
        <f t="shared" ref="Y142:Y147" si="113">IFERROR(K142/$E142,0)</f>
        <v>5.6632016632016633</v>
      </c>
      <c r="Z142" s="13">
        <f t="shared" ref="Z142:Z147" si="114">IFERROR(L142/$F142,0)</f>
        <v>5.6631687324278293</v>
      </c>
      <c r="AA142" s="13">
        <f t="shared" ref="AA142:AA147" si="115">IFERROR(M142/$F142,0)</f>
        <v>7.6631687324278301</v>
      </c>
      <c r="AB142" s="13">
        <f t="shared" ref="AB142:AB147" si="116">IFERROR(N142/$F142,0)</f>
        <v>2.9999999999999996</v>
      </c>
      <c r="AC142" s="13">
        <f t="shared" ref="AC142:AC147" si="117">IFERROR(O142/$F142,0)</f>
        <v>4.6631687324278293</v>
      </c>
      <c r="AD142" s="13">
        <f t="shared" ref="AD142:AD147" si="118">IFERROR(P142/$F142,0)</f>
        <v>4.6631687324278293</v>
      </c>
      <c r="AE142" s="13">
        <f t="shared" ref="AE142:AE147" si="119">IFERROR(Q142/$F142,0)</f>
        <v>4.6631687324278293</v>
      </c>
      <c r="AF142" s="13">
        <f t="shared" ref="AF142:AF147" si="120">IFERROR(R142/$G142,0)</f>
        <v>4</v>
      </c>
      <c r="AG142" s="13">
        <f t="shared" ref="AG142:AG147" si="121">IFERROR(S142/$G142,0)</f>
        <v>5.7621668712628198</v>
      </c>
      <c r="AH142" s="13">
        <f t="shared" ref="AH142:AH147" si="122">IFERROR(T142/$G142,0)</f>
        <v>6.7621668712628207</v>
      </c>
      <c r="AI142" s="94">
        <f t="shared" ref="AI142:AI147" si="123">+IFERROR(AVERAGE(W142:AH142),0)</f>
        <v>5.430548394255676</v>
      </c>
      <c r="AJ142" s="15">
        <f t="shared" ref="AJ142:AJ147" si="124">+SUM(W142:AH142)</f>
        <v>65.166580731068109</v>
      </c>
      <c r="AK142" s="84"/>
      <c r="AM142" s="212">
        <v>0</v>
      </c>
      <c r="AN142" s="25">
        <f>+$AI142*AM142</f>
        <v>0</v>
      </c>
      <c r="AO142" s="212">
        <v>0</v>
      </c>
      <c r="AP142" s="25">
        <f>+$AI142*AO142</f>
        <v>0</v>
      </c>
      <c r="AQ142" s="212">
        <v>1</v>
      </c>
      <c r="AR142" s="25">
        <f>+$AI142*AQ142</f>
        <v>5.430548394255676</v>
      </c>
      <c r="AS142" s="212">
        <v>0</v>
      </c>
      <c r="AT142" s="25">
        <f>+$AI142*AS142</f>
        <v>0</v>
      </c>
    </row>
    <row r="143" spans="1:46" s="45" customFormat="1" x14ac:dyDescent="0.25">
      <c r="A143" s="45" t="str">
        <f t="shared" si="108"/>
        <v>allroll offDRHAUL20</v>
      </c>
      <c r="B143" s="1" t="str">
        <f t="shared" si="109"/>
        <v>camasroll offDRHAUL20</v>
      </c>
      <c r="C143" s="58" t="s">
        <v>619</v>
      </c>
      <c r="D143" s="58" t="s">
        <v>630</v>
      </c>
      <c r="E143" s="11">
        <v>240.5</v>
      </c>
      <c r="F143" s="11">
        <v>252.53000000000003</v>
      </c>
      <c r="G143" s="11">
        <v>252.53</v>
      </c>
      <c r="H143" s="55"/>
      <c r="I143" s="14">
        <v>481</v>
      </c>
      <c r="J143" s="14">
        <v>481</v>
      </c>
      <c r="K143" s="14">
        <v>240.5</v>
      </c>
      <c r="L143" s="14">
        <v>505.06</v>
      </c>
      <c r="M143" s="14">
        <v>757.59</v>
      </c>
      <c r="N143" s="14">
        <v>930.06</v>
      </c>
      <c r="O143" s="14">
        <v>252.53</v>
      </c>
      <c r="P143" s="14">
        <v>505.06</v>
      </c>
      <c r="Q143" s="14">
        <v>252.53</v>
      </c>
      <c r="R143" s="14">
        <v>2067.5300000000002</v>
      </c>
      <c r="S143" s="14">
        <v>3185.06</v>
      </c>
      <c r="T143" s="14">
        <v>1677.53</v>
      </c>
      <c r="U143" s="16">
        <f t="shared" si="110"/>
        <v>11335.45</v>
      </c>
      <c r="W143" s="13">
        <f t="shared" si="111"/>
        <v>2</v>
      </c>
      <c r="X143" s="13">
        <f t="shared" si="112"/>
        <v>2</v>
      </c>
      <c r="Y143" s="13">
        <f t="shared" si="113"/>
        <v>1</v>
      </c>
      <c r="Z143" s="13">
        <f t="shared" si="114"/>
        <v>1.9999999999999998</v>
      </c>
      <c r="AA143" s="13">
        <f t="shared" si="115"/>
        <v>2.9999999999999996</v>
      </c>
      <c r="AB143" s="13">
        <f t="shared" si="116"/>
        <v>3.6829683601948275</v>
      </c>
      <c r="AC143" s="13">
        <f t="shared" si="117"/>
        <v>0.99999999999999989</v>
      </c>
      <c r="AD143" s="13">
        <f t="shared" si="118"/>
        <v>1.9999999999999998</v>
      </c>
      <c r="AE143" s="13">
        <f t="shared" si="119"/>
        <v>0.99999999999999989</v>
      </c>
      <c r="AF143" s="13">
        <f t="shared" si="120"/>
        <v>8.1872648794202671</v>
      </c>
      <c r="AG143" s="13">
        <f t="shared" si="121"/>
        <v>12.612600483110917</v>
      </c>
      <c r="AH143" s="13">
        <f t="shared" si="122"/>
        <v>6.642893913594424</v>
      </c>
      <c r="AI143" s="94">
        <f t="shared" si="123"/>
        <v>3.7604773030267027</v>
      </c>
      <c r="AJ143" s="15">
        <f t="shared" si="124"/>
        <v>45.125727636320434</v>
      </c>
      <c r="AK143" s="84"/>
      <c r="AM143" s="212">
        <v>0</v>
      </c>
      <c r="AN143" s="25">
        <f>+$AI143*AM143</f>
        <v>0</v>
      </c>
      <c r="AO143" s="212">
        <v>0</v>
      </c>
      <c r="AP143" s="25">
        <f>+$AI143*AO143</f>
        <v>0</v>
      </c>
      <c r="AQ143" s="212">
        <v>1</v>
      </c>
      <c r="AR143" s="25">
        <f>+$AI143*AQ143</f>
        <v>3.7604773030267027</v>
      </c>
      <c r="AS143" s="212">
        <v>0</v>
      </c>
      <c r="AT143" s="25">
        <f>+$AI143*AS143</f>
        <v>0</v>
      </c>
    </row>
    <row r="144" spans="1:46" s="45" customFormat="1" x14ac:dyDescent="0.25">
      <c r="A144" s="45" t="str">
        <f t="shared" si="108"/>
        <v>allroll offDRHAUL30</v>
      </c>
      <c r="B144" s="1" t="str">
        <f t="shared" si="109"/>
        <v>camasroll offDRHAUL30</v>
      </c>
      <c r="C144" s="58" t="s">
        <v>620</v>
      </c>
      <c r="D144" s="58" t="s">
        <v>631</v>
      </c>
      <c r="E144" s="11">
        <v>240.5</v>
      </c>
      <c r="F144" s="11">
        <v>252.53000000000003</v>
      </c>
      <c r="G144" s="11">
        <v>252.53</v>
      </c>
      <c r="H144" s="55"/>
      <c r="I144" s="14">
        <v>240.5</v>
      </c>
      <c r="J144" s="14">
        <v>962</v>
      </c>
      <c r="K144" s="14">
        <v>721.5</v>
      </c>
      <c r="L144" s="14">
        <v>505.06</v>
      </c>
      <c r="M144" s="14">
        <v>2406.09</v>
      </c>
      <c r="N144" s="14">
        <v>1383.86</v>
      </c>
      <c r="O144" s="14">
        <v>505.06</v>
      </c>
      <c r="P144" s="14">
        <v>757.59</v>
      </c>
      <c r="Q144" s="14">
        <v>1010.12</v>
      </c>
      <c r="R144" s="14">
        <v>505.06</v>
      </c>
      <c r="S144" s="14">
        <v>1010.12</v>
      </c>
      <c r="T144" s="14">
        <v>1010.12</v>
      </c>
      <c r="U144" s="16">
        <f t="shared" si="110"/>
        <v>11017.080000000002</v>
      </c>
      <c r="W144" s="13">
        <f t="shared" si="111"/>
        <v>1</v>
      </c>
      <c r="X144" s="13">
        <f t="shared" si="112"/>
        <v>4</v>
      </c>
      <c r="Y144" s="13">
        <f t="shared" si="113"/>
        <v>3</v>
      </c>
      <c r="Z144" s="13">
        <f t="shared" si="114"/>
        <v>1.9999999999999998</v>
      </c>
      <c r="AA144" s="13">
        <f t="shared" si="115"/>
        <v>9.5279372747792337</v>
      </c>
      <c r="AB144" s="13">
        <f t="shared" si="116"/>
        <v>5.479982576327564</v>
      </c>
      <c r="AC144" s="13">
        <f t="shared" si="117"/>
        <v>1.9999999999999998</v>
      </c>
      <c r="AD144" s="13">
        <f t="shared" si="118"/>
        <v>2.9999999999999996</v>
      </c>
      <c r="AE144" s="13">
        <f t="shared" si="119"/>
        <v>3.9999999999999996</v>
      </c>
      <c r="AF144" s="13">
        <f t="shared" si="120"/>
        <v>2</v>
      </c>
      <c r="AG144" s="13">
        <f t="shared" si="121"/>
        <v>4</v>
      </c>
      <c r="AH144" s="13">
        <f t="shared" si="122"/>
        <v>4</v>
      </c>
      <c r="AI144" s="94">
        <f t="shared" si="123"/>
        <v>3.6673266542589</v>
      </c>
      <c r="AJ144" s="15">
        <f t="shared" si="124"/>
        <v>44.007919851106799</v>
      </c>
      <c r="AK144" s="84"/>
      <c r="AM144" s="212">
        <v>0</v>
      </c>
      <c r="AN144" s="25">
        <f>+$AI144*AM144</f>
        <v>0</v>
      </c>
      <c r="AO144" s="212">
        <v>0</v>
      </c>
      <c r="AP144" s="25">
        <f>+$AI144*AO144</f>
        <v>0</v>
      </c>
      <c r="AQ144" s="212">
        <v>1</v>
      </c>
      <c r="AR144" s="25">
        <f>+$AI144*AQ144</f>
        <v>3.6673266542589</v>
      </c>
      <c r="AS144" s="212">
        <v>0</v>
      </c>
      <c r="AT144" s="25">
        <f>+$AI144*AS144</f>
        <v>0</v>
      </c>
    </row>
    <row r="145" spans="1:46" s="45" customFormat="1" x14ac:dyDescent="0.25">
      <c r="A145" s="45" t="str">
        <f t="shared" si="108"/>
        <v>allroll offDRHAUL40</v>
      </c>
      <c r="B145" s="1" t="str">
        <f t="shared" si="109"/>
        <v>camasroll offDRHAUL40</v>
      </c>
      <c r="C145" s="58" t="s">
        <v>621</v>
      </c>
      <c r="D145" s="58" t="s">
        <v>632</v>
      </c>
      <c r="E145" s="11">
        <v>240.5</v>
      </c>
      <c r="F145" s="11">
        <v>252.53000000000003</v>
      </c>
      <c r="G145" s="11">
        <v>252.53</v>
      </c>
      <c r="H145" s="55"/>
      <c r="I145" s="14">
        <v>1443</v>
      </c>
      <c r="J145" s="14">
        <v>2228</v>
      </c>
      <c r="K145" s="14">
        <v>5545</v>
      </c>
      <c r="L145" s="14">
        <v>7100.65</v>
      </c>
      <c r="M145" s="14">
        <v>4308.18</v>
      </c>
      <c r="N145" s="14">
        <v>4107.1400000000003</v>
      </c>
      <c r="O145" s="14">
        <v>4040.48</v>
      </c>
      <c r="P145" s="14">
        <v>1262.6500000000001</v>
      </c>
      <c r="Q145" s="14">
        <v>2086.9</v>
      </c>
      <c r="R145" s="14">
        <v>2380.1799999999998</v>
      </c>
      <c r="S145" s="14">
        <v>2380.1799999999998</v>
      </c>
      <c r="T145" s="14">
        <v>1767.71</v>
      </c>
      <c r="U145" s="16">
        <f t="shared" si="110"/>
        <v>38650.07</v>
      </c>
      <c r="W145" s="13">
        <f t="shared" si="111"/>
        <v>6</v>
      </c>
      <c r="X145" s="13">
        <f t="shared" si="112"/>
        <v>9.2640332640332641</v>
      </c>
      <c r="Y145" s="13">
        <f t="shared" si="113"/>
        <v>23.056133056133056</v>
      </c>
      <c r="Z145" s="13">
        <f t="shared" si="114"/>
        <v>28.118045380746839</v>
      </c>
      <c r="AA145" s="13">
        <f t="shared" si="115"/>
        <v>17.06007207064507</v>
      </c>
      <c r="AB145" s="13">
        <f t="shared" si="116"/>
        <v>16.263968637389617</v>
      </c>
      <c r="AC145" s="13">
        <f t="shared" si="117"/>
        <v>15.999999999999998</v>
      </c>
      <c r="AD145" s="13">
        <f t="shared" si="118"/>
        <v>5</v>
      </c>
      <c r="AE145" s="13">
        <f t="shared" si="119"/>
        <v>8.2639686373896168</v>
      </c>
      <c r="AF145" s="13">
        <f t="shared" si="120"/>
        <v>9.4253356036906499</v>
      </c>
      <c r="AG145" s="13">
        <f t="shared" si="121"/>
        <v>9.4253356036906499</v>
      </c>
      <c r="AH145" s="13">
        <f t="shared" si="122"/>
        <v>7</v>
      </c>
      <c r="AI145" s="94">
        <f t="shared" si="123"/>
        <v>12.906407687809896</v>
      </c>
      <c r="AJ145" s="15">
        <f t="shared" si="124"/>
        <v>154.87689225371875</v>
      </c>
      <c r="AK145" s="84"/>
      <c r="AM145" s="212">
        <v>0</v>
      </c>
      <c r="AN145" s="25">
        <f>+$AI145*AM145</f>
        <v>0</v>
      </c>
      <c r="AO145" s="212">
        <v>0</v>
      </c>
      <c r="AP145" s="25">
        <f>+$AI145*AO145</f>
        <v>0</v>
      </c>
      <c r="AQ145" s="212">
        <v>1</v>
      </c>
      <c r="AR145" s="25">
        <f>+$AI145*AQ145</f>
        <v>12.906407687809896</v>
      </c>
      <c r="AS145" s="212">
        <v>0</v>
      </c>
      <c r="AT145" s="25">
        <f>+$AI145*AS145</f>
        <v>0</v>
      </c>
    </row>
    <row r="146" spans="1:46" s="253" customFormat="1" x14ac:dyDescent="0.25">
      <c r="A146" s="253" t="str">
        <f t="shared" si="108"/>
        <v>allroll offCADEM15</v>
      </c>
      <c r="B146" s="241" t="str">
        <f t="shared" si="109"/>
        <v>camasroll offCADEM15</v>
      </c>
      <c r="C146" s="249" t="s">
        <v>661</v>
      </c>
      <c r="D146" s="249" t="s">
        <v>373</v>
      </c>
      <c r="E146" s="238">
        <v>69.069999999999993</v>
      </c>
      <c r="F146" s="238">
        <v>69.069999999999993</v>
      </c>
      <c r="G146" s="238">
        <v>69.069999999999993</v>
      </c>
      <c r="H146" s="261"/>
      <c r="I146" s="243">
        <v>11.51</v>
      </c>
      <c r="J146" s="243">
        <v>0</v>
      </c>
      <c r="K146" s="243">
        <v>0</v>
      </c>
      <c r="L146" s="243">
        <v>0</v>
      </c>
      <c r="M146" s="243">
        <v>11.51</v>
      </c>
      <c r="N146" s="243">
        <v>0</v>
      </c>
      <c r="O146" s="243">
        <v>0</v>
      </c>
      <c r="P146" s="243">
        <v>0</v>
      </c>
      <c r="Q146" s="243">
        <v>0</v>
      </c>
      <c r="R146" s="243">
        <v>0</v>
      </c>
      <c r="S146" s="243">
        <v>0</v>
      </c>
      <c r="T146" s="243">
        <v>0</v>
      </c>
      <c r="U146" s="233">
        <f t="shared" si="110"/>
        <v>23.02</v>
      </c>
      <c r="W146" s="240">
        <f t="shared" si="111"/>
        <v>0.16664253655711597</v>
      </c>
      <c r="X146" s="240">
        <f t="shared" si="112"/>
        <v>0</v>
      </c>
      <c r="Y146" s="240">
        <f t="shared" si="113"/>
        <v>0</v>
      </c>
      <c r="Z146" s="240">
        <f t="shared" si="114"/>
        <v>0</v>
      </c>
      <c r="AA146" s="240">
        <f t="shared" si="115"/>
        <v>0.16664253655711597</v>
      </c>
      <c r="AB146" s="240">
        <f t="shared" si="116"/>
        <v>0</v>
      </c>
      <c r="AC146" s="240">
        <f t="shared" si="117"/>
        <v>0</v>
      </c>
      <c r="AD146" s="240">
        <f t="shared" si="118"/>
        <v>0</v>
      </c>
      <c r="AE146" s="240">
        <f t="shared" si="119"/>
        <v>0</v>
      </c>
      <c r="AF146" s="240">
        <f t="shared" si="120"/>
        <v>0</v>
      </c>
      <c r="AG146" s="240">
        <f t="shared" si="121"/>
        <v>0</v>
      </c>
      <c r="AH146" s="240">
        <f t="shared" si="122"/>
        <v>0</v>
      </c>
      <c r="AI146" s="256">
        <f t="shared" si="123"/>
        <v>2.7773756092852663E-2</v>
      </c>
      <c r="AJ146" s="242">
        <f t="shared" si="124"/>
        <v>0.33328507311423194</v>
      </c>
      <c r="AK146" s="241"/>
    </row>
    <row r="147" spans="1:46" s="253" customFormat="1" x14ac:dyDescent="0.25">
      <c r="A147" s="253" t="str">
        <f t="shared" si="108"/>
        <v>allroll offCADEM20</v>
      </c>
      <c r="B147" s="241" t="str">
        <f t="shared" si="109"/>
        <v>camasroll offCADEM20</v>
      </c>
      <c r="C147" s="249" t="s">
        <v>662</v>
      </c>
      <c r="D147" s="249" t="s">
        <v>374</v>
      </c>
      <c r="E147" s="238">
        <v>69.069999999999993</v>
      </c>
      <c r="F147" s="238">
        <v>69.069999999999993</v>
      </c>
      <c r="G147" s="238">
        <v>69.069999999999993</v>
      </c>
      <c r="H147" s="261"/>
      <c r="I147" s="243">
        <v>743.61</v>
      </c>
      <c r="J147" s="243">
        <v>798.88</v>
      </c>
      <c r="K147" s="243">
        <v>762</v>
      </c>
      <c r="L147" s="243">
        <v>713.68000000000006</v>
      </c>
      <c r="M147" s="243">
        <v>762.03</v>
      </c>
      <c r="N147" s="243">
        <v>978.49</v>
      </c>
      <c r="O147" s="243">
        <v>775.88</v>
      </c>
      <c r="P147" s="243">
        <v>577.8900000000001</v>
      </c>
      <c r="Q147" s="243">
        <v>660.77</v>
      </c>
      <c r="R147" s="243">
        <v>421.33</v>
      </c>
      <c r="S147" s="243">
        <v>501.56</v>
      </c>
      <c r="T147" s="243">
        <v>528.07999999999993</v>
      </c>
      <c r="U147" s="233">
        <f t="shared" si="110"/>
        <v>8224.2000000000007</v>
      </c>
      <c r="W147" s="240">
        <f t="shared" si="111"/>
        <v>10.76603445779644</v>
      </c>
      <c r="X147" s="240">
        <f t="shared" si="112"/>
        <v>11.566237150716665</v>
      </c>
      <c r="Y147" s="240">
        <f t="shared" si="113"/>
        <v>11.032286086578834</v>
      </c>
      <c r="Z147" s="240">
        <f t="shared" si="114"/>
        <v>10.332705950485018</v>
      </c>
      <c r="AA147" s="240">
        <f t="shared" si="115"/>
        <v>11.032720428550746</v>
      </c>
      <c r="AB147" s="240">
        <f t="shared" si="116"/>
        <v>14.166642536557118</v>
      </c>
      <c r="AC147" s="240">
        <f t="shared" si="117"/>
        <v>11.233241638917042</v>
      </c>
      <c r="AD147" s="240">
        <f t="shared" si="118"/>
        <v>8.3667294049515011</v>
      </c>
      <c r="AE147" s="240">
        <f t="shared" si="119"/>
        <v>9.5666714926885774</v>
      </c>
      <c r="AF147" s="240">
        <f t="shared" si="120"/>
        <v>6.1000434341971914</v>
      </c>
      <c r="AG147" s="240">
        <f t="shared" si="121"/>
        <v>7.2616186477486613</v>
      </c>
      <c r="AH147" s="240">
        <f t="shared" si="122"/>
        <v>7.6455769509193567</v>
      </c>
      <c r="AI147" s="256">
        <f t="shared" si="123"/>
        <v>9.9225423483422617</v>
      </c>
      <c r="AJ147" s="242">
        <f t="shared" si="124"/>
        <v>119.07050818010714</v>
      </c>
      <c r="AK147" s="241"/>
    </row>
    <row r="148" spans="1:46" s="45" customFormat="1" ht="12.75" x14ac:dyDescent="0.2">
      <c r="C148" s="40"/>
      <c r="D148" s="40"/>
      <c r="E148" s="11"/>
      <c r="F148" s="11"/>
      <c r="G148" s="11"/>
      <c r="H148" s="55"/>
      <c r="I148" s="46"/>
      <c r="J148" s="47"/>
      <c r="K148" s="48"/>
      <c r="L148" s="49"/>
      <c r="M148" s="49"/>
      <c r="P148" s="46"/>
      <c r="U148" s="16"/>
      <c r="W148" s="25"/>
      <c r="X148" s="25"/>
      <c r="Y148" s="25"/>
      <c r="Z148" s="25"/>
      <c r="AA148" s="25"/>
      <c r="AB148" s="25"/>
      <c r="AC148" s="25"/>
      <c r="AD148" s="25"/>
      <c r="AE148" s="25"/>
      <c r="AF148" s="25"/>
      <c r="AG148" s="25"/>
      <c r="AH148" s="25"/>
      <c r="AJ148" s="1"/>
      <c r="AK148" s="1"/>
    </row>
    <row r="149" spans="1:46" s="45" customFormat="1" ht="12.75" x14ac:dyDescent="0.2">
      <c r="C149" s="40"/>
      <c r="D149" s="52" t="s">
        <v>43</v>
      </c>
      <c r="E149" s="11"/>
      <c r="F149" s="11"/>
      <c r="G149" s="11"/>
      <c r="H149" s="55"/>
      <c r="I149" s="23">
        <f t="shared" ref="I149:U149" si="125">SUM(I142:I148)</f>
        <v>4281.62</v>
      </c>
      <c r="J149" s="23">
        <f t="shared" si="125"/>
        <v>6153.38</v>
      </c>
      <c r="K149" s="23">
        <f t="shared" si="125"/>
        <v>8631</v>
      </c>
      <c r="L149" s="23">
        <f t="shared" si="125"/>
        <v>10254.57</v>
      </c>
      <c r="M149" s="23">
        <f t="shared" si="125"/>
        <v>10180.580000000002</v>
      </c>
      <c r="N149" s="23">
        <f t="shared" si="125"/>
        <v>8157.14</v>
      </c>
      <c r="O149" s="23">
        <f t="shared" si="125"/>
        <v>6751.54</v>
      </c>
      <c r="P149" s="23">
        <f t="shared" si="125"/>
        <v>4280.78</v>
      </c>
      <c r="Q149" s="23">
        <f t="shared" si="125"/>
        <v>5187.91</v>
      </c>
      <c r="R149" s="23">
        <f t="shared" si="125"/>
        <v>6384.2199999999993</v>
      </c>
      <c r="S149" s="23">
        <f t="shared" si="125"/>
        <v>8532.0399999999991</v>
      </c>
      <c r="T149" s="23">
        <f t="shared" si="125"/>
        <v>6691.09</v>
      </c>
      <c r="U149" s="23">
        <f t="shared" si="125"/>
        <v>85485.87</v>
      </c>
      <c r="V149" s="16"/>
      <c r="W149" s="185">
        <f t="shared" ref="W149:AJ149" si="126">+SUM(W146:W147)</f>
        <v>10.932676994353557</v>
      </c>
      <c r="X149" s="185">
        <f t="shared" si="126"/>
        <v>11.566237150716665</v>
      </c>
      <c r="Y149" s="185">
        <f t="shared" si="126"/>
        <v>11.032286086578834</v>
      </c>
      <c r="Z149" s="185">
        <f t="shared" si="126"/>
        <v>10.332705950485018</v>
      </c>
      <c r="AA149" s="185">
        <f t="shared" si="126"/>
        <v>11.199362965107863</v>
      </c>
      <c r="AB149" s="185">
        <f t="shared" si="126"/>
        <v>14.166642536557118</v>
      </c>
      <c r="AC149" s="185">
        <f t="shared" si="126"/>
        <v>11.233241638917042</v>
      </c>
      <c r="AD149" s="185">
        <f t="shared" si="126"/>
        <v>8.3667294049515011</v>
      </c>
      <c r="AE149" s="185">
        <f t="shared" si="126"/>
        <v>9.5666714926885774</v>
      </c>
      <c r="AF149" s="185">
        <f t="shared" si="126"/>
        <v>6.1000434341971914</v>
      </c>
      <c r="AG149" s="185">
        <f t="shared" si="126"/>
        <v>7.2616186477486613</v>
      </c>
      <c r="AH149" s="185">
        <f t="shared" si="126"/>
        <v>7.6455769509193567</v>
      </c>
      <c r="AI149" s="185">
        <f t="shared" si="126"/>
        <v>9.9503161044351138</v>
      </c>
      <c r="AJ149" s="185">
        <f t="shared" si="126"/>
        <v>119.40379325322137</v>
      </c>
      <c r="AK149" s="1"/>
      <c r="AN149" s="186">
        <f>+SUM(AN146:AN148)</f>
        <v>0</v>
      </c>
      <c r="AP149" s="186">
        <f>+SUM(AP146:AP148)</f>
        <v>0</v>
      </c>
      <c r="AR149" s="186">
        <f>+SUM(AR142:AR148)</f>
        <v>25.764760039351174</v>
      </c>
      <c r="AT149" s="186">
        <f>+SUM(AT146:AT148)</f>
        <v>0</v>
      </c>
    </row>
    <row r="150" spans="1:46" ht="12" customHeight="1" x14ac:dyDescent="0.25">
      <c r="C150" s="26"/>
      <c r="D150" s="26"/>
      <c r="E150" s="11"/>
      <c r="F150" s="11"/>
      <c r="G150" s="11"/>
      <c r="H150" s="11"/>
      <c r="W150" s="25"/>
      <c r="X150" s="25"/>
      <c r="Y150" s="25"/>
      <c r="Z150" s="25"/>
      <c r="AA150" s="25"/>
      <c r="AB150" s="25"/>
      <c r="AC150" s="25"/>
      <c r="AD150" s="25"/>
      <c r="AE150" s="25"/>
      <c r="AF150" s="25"/>
      <c r="AG150" s="25"/>
      <c r="AH150" s="25"/>
    </row>
    <row r="151" spans="1:46" ht="12" customHeight="1" x14ac:dyDescent="0.2">
      <c r="C151" s="32" t="s">
        <v>16</v>
      </c>
      <c r="D151" s="32" t="s">
        <v>16</v>
      </c>
      <c r="E151" s="11"/>
      <c r="F151" s="11"/>
      <c r="G151" s="11"/>
      <c r="H151" s="12"/>
      <c r="I151" s="12"/>
      <c r="J151" s="13"/>
      <c r="K151" s="13"/>
      <c r="AI151" s="1"/>
    </row>
    <row r="152" spans="1:46" ht="12" customHeight="1" x14ac:dyDescent="0.25">
      <c r="A152" s="45" t="str">
        <f t="shared" ref="A152:A159" si="127">"all"&amp;"roll off"&amp;C152</f>
        <v>allroll offDISP</v>
      </c>
      <c r="B152" s="1" t="str">
        <f t="shared" ref="B152:B159" si="128">"camas"&amp;"roll off"&amp;C152</f>
        <v>camasroll offDISP</v>
      </c>
      <c r="C152" s="58" t="s">
        <v>394</v>
      </c>
      <c r="D152" s="58" t="s">
        <v>404</v>
      </c>
      <c r="E152" s="11">
        <v>94.46</v>
      </c>
      <c r="F152" s="11">
        <v>94.46</v>
      </c>
      <c r="G152" s="11">
        <v>99.43</v>
      </c>
      <c r="H152" s="20"/>
      <c r="I152" s="14">
        <v>18282.73</v>
      </c>
      <c r="J152" s="14">
        <v>20373.12</v>
      </c>
      <c r="K152" s="14">
        <v>32686.92</v>
      </c>
      <c r="L152" s="14">
        <v>24200.63</v>
      </c>
      <c r="M152" s="14">
        <v>25975.52</v>
      </c>
      <c r="N152" s="14">
        <v>46327.91</v>
      </c>
      <c r="O152" s="14">
        <v>31047.17</v>
      </c>
      <c r="P152" s="14">
        <v>32410.2</v>
      </c>
      <c r="Q152" s="14">
        <v>22635.47</v>
      </c>
      <c r="R152" s="14">
        <v>20687.22</v>
      </c>
      <c r="S152" s="14">
        <v>31403.95</v>
      </c>
      <c r="T152" s="14">
        <v>17340.61</v>
      </c>
      <c r="U152" s="16">
        <f t="shared" ref="U152:U159" si="129">SUM(I152:T152)</f>
        <v>323371.45</v>
      </c>
    </row>
    <row r="153" spans="1:46" ht="12" customHeight="1" x14ac:dyDescent="0.25">
      <c r="A153" s="45" t="str">
        <f t="shared" si="127"/>
        <v>allroll offFEE</v>
      </c>
      <c r="B153" s="1" t="str">
        <f t="shared" si="128"/>
        <v>camasroll offFEE</v>
      </c>
      <c r="C153" s="58" t="s">
        <v>395</v>
      </c>
      <c r="D153" s="58" t="s">
        <v>405</v>
      </c>
      <c r="E153" s="11">
        <v>10</v>
      </c>
      <c r="F153" s="11">
        <v>10</v>
      </c>
      <c r="G153" s="11">
        <v>10</v>
      </c>
      <c r="H153" s="20"/>
      <c r="I153" s="14">
        <v>580</v>
      </c>
      <c r="J153" s="14">
        <v>770</v>
      </c>
      <c r="K153" s="14">
        <v>1020</v>
      </c>
      <c r="L153" s="14">
        <v>830</v>
      </c>
      <c r="M153" s="14">
        <v>980</v>
      </c>
      <c r="N153" s="14">
        <v>1160</v>
      </c>
      <c r="O153" s="14">
        <v>920</v>
      </c>
      <c r="P153" s="14">
        <v>970</v>
      </c>
      <c r="Q153" s="14">
        <v>760</v>
      </c>
      <c r="R153" s="14">
        <v>710</v>
      </c>
      <c r="S153" s="14">
        <v>820</v>
      </c>
      <c r="T153" s="14">
        <v>680</v>
      </c>
      <c r="U153" s="16">
        <f t="shared" si="129"/>
        <v>10200</v>
      </c>
    </row>
    <row r="154" spans="1:46" ht="12" customHeight="1" x14ac:dyDescent="0.25">
      <c r="A154" s="45" t="str">
        <f t="shared" si="127"/>
        <v>allroll offDRCONCRETE</v>
      </c>
      <c r="B154" s="1" t="str">
        <f t="shared" si="128"/>
        <v>camasroll offDRCONCRETE</v>
      </c>
      <c r="C154" s="58" t="s">
        <v>1132</v>
      </c>
      <c r="D154" s="58" t="s">
        <v>1133</v>
      </c>
      <c r="E154" s="11">
        <v>11</v>
      </c>
      <c r="F154" s="11">
        <v>11</v>
      </c>
      <c r="G154" s="11">
        <v>11</v>
      </c>
      <c r="H154" s="20"/>
      <c r="I154" s="14">
        <v>260</v>
      </c>
      <c r="J154" s="14">
        <v>299</v>
      </c>
      <c r="K154" s="14">
        <v>182</v>
      </c>
      <c r="L154" s="14">
        <v>253.5</v>
      </c>
      <c r="M154" s="14">
        <v>240.5</v>
      </c>
      <c r="N154" s="14">
        <v>143</v>
      </c>
      <c r="O154" s="14">
        <v>221</v>
      </c>
      <c r="P154" s="14">
        <v>136.5</v>
      </c>
      <c r="Q154" s="14">
        <v>169</v>
      </c>
      <c r="R154" s="14">
        <v>136.5</v>
      </c>
      <c r="S154" s="14">
        <v>136.5</v>
      </c>
      <c r="T154" s="14">
        <v>197.4</v>
      </c>
      <c r="U154" s="12">
        <f t="shared" si="129"/>
        <v>2374.9</v>
      </c>
    </row>
    <row r="155" spans="1:46" ht="12" customHeight="1" x14ac:dyDescent="0.25">
      <c r="A155" s="45" t="str">
        <f t="shared" si="127"/>
        <v>allroll offDRWOOD</v>
      </c>
      <c r="B155" s="1" t="str">
        <f t="shared" si="128"/>
        <v>camasroll offDRWOOD</v>
      </c>
      <c r="C155" s="58" t="s">
        <v>1134</v>
      </c>
      <c r="D155" s="58" t="s">
        <v>1135</v>
      </c>
      <c r="E155" s="11">
        <v>36.51</v>
      </c>
      <c r="F155" s="11">
        <v>36.51</v>
      </c>
      <c r="G155" s="11">
        <v>36.51</v>
      </c>
      <c r="H155" s="20"/>
      <c r="I155" s="14">
        <v>1423.6</v>
      </c>
      <c r="J155" s="14">
        <v>2130.4</v>
      </c>
      <c r="K155" s="14">
        <v>1563.2</v>
      </c>
      <c r="L155" s="14">
        <v>848</v>
      </c>
      <c r="M155" s="14">
        <v>1490.4</v>
      </c>
      <c r="N155" s="14">
        <v>1944</v>
      </c>
      <c r="O155" s="14">
        <v>842.4</v>
      </c>
      <c r="P155" s="14">
        <v>1166.4000000000001</v>
      </c>
      <c r="Q155" s="14">
        <v>1166.4000000000001</v>
      </c>
      <c r="R155" s="14">
        <v>1966.7</v>
      </c>
      <c r="S155" s="14">
        <v>1912.4</v>
      </c>
      <c r="T155" s="14">
        <v>1161.0999999999999</v>
      </c>
      <c r="U155" s="12">
        <f t="shared" si="129"/>
        <v>17615</v>
      </c>
    </row>
    <row r="156" spans="1:46" ht="12" customHeight="1" x14ac:dyDescent="0.25">
      <c r="A156" s="45" t="str">
        <f t="shared" si="127"/>
        <v>allroll offDRDEMO</v>
      </c>
      <c r="B156" s="1" t="str">
        <f t="shared" si="128"/>
        <v>camasroll offDRDEMO</v>
      </c>
      <c r="C156" s="58" t="s">
        <v>1130</v>
      </c>
      <c r="D156" s="58" t="s">
        <v>1131</v>
      </c>
      <c r="E156" s="11">
        <v>75.2</v>
      </c>
      <c r="F156" s="11">
        <v>75.2</v>
      </c>
      <c r="G156" s="11">
        <v>75.2</v>
      </c>
      <c r="H156" s="20"/>
      <c r="I156" s="14">
        <v>0</v>
      </c>
      <c r="J156" s="14">
        <v>0</v>
      </c>
      <c r="K156" s="14">
        <v>0</v>
      </c>
      <c r="L156" s="14">
        <v>0</v>
      </c>
      <c r="M156" s="14">
        <v>0</v>
      </c>
      <c r="N156" s="14">
        <v>0</v>
      </c>
      <c r="O156" s="14">
        <v>0</v>
      </c>
      <c r="P156" s="14">
        <v>0</v>
      </c>
      <c r="Q156" s="14">
        <v>0</v>
      </c>
      <c r="R156" s="14">
        <v>0</v>
      </c>
      <c r="S156" s="14">
        <v>0</v>
      </c>
      <c r="T156" s="14">
        <v>0</v>
      </c>
      <c r="U156" s="12">
        <f t="shared" si="129"/>
        <v>0</v>
      </c>
    </row>
    <row r="157" spans="1:46" ht="12" customHeight="1" x14ac:dyDescent="0.25">
      <c r="A157" s="45" t="str">
        <f t="shared" si="127"/>
        <v>allroll offYDDISP</v>
      </c>
      <c r="B157" s="1" t="str">
        <f t="shared" si="128"/>
        <v>camasroll offYDDISP</v>
      </c>
      <c r="C157" s="58" t="s">
        <v>1136</v>
      </c>
      <c r="D157" s="58" t="s">
        <v>1137</v>
      </c>
      <c r="E157" s="11">
        <v>32.340000000000003</v>
      </c>
      <c r="F157" s="11">
        <v>32.340000000000003</v>
      </c>
      <c r="G157" s="11">
        <v>32.340000000000003</v>
      </c>
      <c r="H157" s="20"/>
      <c r="I157" s="14">
        <v>201.44</v>
      </c>
      <c r="J157" s="14">
        <v>100</v>
      </c>
      <c r="K157" s="14">
        <v>0</v>
      </c>
      <c r="L157" s="14">
        <v>0</v>
      </c>
      <c r="M157" s="14">
        <v>755.6</v>
      </c>
      <c r="N157" s="14">
        <v>1007.2</v>
      </c>
      <c r="O157" s="14">
        <v>5633.7</v>
      </c>
      <c r="P157" s="14">
        <v>377.7</v>
      </c>
      <c r="Q157" s="14">
        <v>447.2</v>
      </c>
      <c r="R157" s="14">
        <v>0</v>
      </c>
      <c r="S157" s="14">
        <v>0</v>
      </c>
      <c r="T157" s="14">
        <v>0</v>
      </c>
      <c r="U157" s="12">
        <f t="shared" si="129"/>
        <v>8522.84</v>
      </c>
    </row>
    <row r="158" spans="1:46" ht="12" customHeight="1" x14ac:dyDescent="0.25">
      <c r="A158" s="45" t="str">
        <f>"all"&amp;"roll off"&amp;C158</f>
        <v>allroll offPTRAN</v>
      </c>
      <c r="B158" s="1" t="str">
        <f t="shared" si="128"/>
        <v>camasroll offPTRAN</v>
      </c>
      <c r="C158" s="58" t="s">
        <v>919</v>
      </c>
      <c r="D158" s="58" t="s">
        <v>921</v>
      </c>
      <c r="E158" s="11">
        <v>0</v>
      </c>
      <c r="F158" s="11">
        <v>0</v>
      </c>
      <c r="G158" s="11">
        <v>0</v>
      </c>
      <c r="H158" s="20"/>
      <c r="I158" s="14">
        <v>0</v>
      </c>
      <c r="J158" s="14">
        <v>0</v>
      </c>
      <c r="K158" s="14">
        <v>0</v>
      </c>
      <c r="L158" s="14">
        <v>0</v>
      </c>
      <c r="M158" s="14">
        <v>0</v>
      </c>
      <c r="N158" s="14">
        <v>0</v>
      </c>
      <c r="O158" s="14">
        <v>0</v>
      </c>
      <c r="P158" s="14">
        <v>0</v>
      </c>
      <c r="Q158" s="14">
        <v>0</v>
      </c>
      <c r="R158" s="14">
        <v>0</v>
      </c>
      <c r="S158" s="14">
        <v>50</v>
      </c>
      <c r="T158" s="14">
        <v>0</v>
      </c>
      <c r="U158" s="12">
        <f t="shared" si="129"/>
        <v>50</v>
      </c>
    </row>
    <row r="159" spans="1:46" ht="12" customHeight="1" x14ac:dyDescent="0.25">
      <c r="A159" s="45" t="str">
        <f t="shared" si="127"/>
        <v>allroll offPTON</v>
      </c>
      <c r="B159" s="1" t="str">
        <f t="shared" si="128"/>
        <v>camasroll offPTON</v>
      </c>
      <c r="C159" s="58" t="s">
        <v>640</v>
      </c>
      <c r="D159" s="58" t="s">
        <v>641</v>
      </c>
      <c r="E159" s="11">
        <v>0</v>
      </c>
      <c r="F159" s="11">
        <v>0</v>
      </c>
      <c r="G159" s="11">
        <v>0</v>
      </c>
      <c r="H159" s="20"/>
      <c r="I159" s="14">
        <v>0</v>
      </c>
      <c r="J159" s="14">
        <v>120</v>
      </c>
      <c r="K159" s="14">
        <v>0</v>
      </c>
      <c r="L159" s="14">
        <v>0</v>
      </c>
      <c r="M159" s="14">
        <v>60</v>
      </c>
      <c r="N159" s="14">
        <v>0</v>
      </c>
      <c r="O159" s="14">
        <v>0</v>
      </c>
      <c r="P159" s="14">
        <v>0</v>
      </c>
      <c r="Q159" s="14">
        <v>0</v>
      </c>
      <c r="R159" s="14">
        <v>377.8</v>
      </c>
      <c r="S159" s="14">
        <v>510.7</v>
      </c>
      <c r="T159" s="14">
        <v>0</v>
      </c>
      <c r="U159" s="12">
        <f t="shared" si="129"/>
        <v>1068.5</v>
      </c>
    </row>
    <row r="160" spans="1:46" ht="12" customHeight="1" x14ac:dyDescent="0.25">
      <c r="C160" s="26"/>
      <c r="D160" s="26"/>
      <c r="E160" s="11"/>
      <c r="F160" s="11"/>
      <c r="G160" s="11"/>
      <c r="H160" s="12"/>
      <c r="U160" s="12"/>
    </row>
    <row r="161" spans="2:48" ht="12" customHeight="1" x14ac:dyDescent="0.25">
      <c r="C161" s="26"/>
      <c r="D161" s="31" t="s">
        <v>17</v>
      </c>
      <c r="E161" s="11"/>
      <c r="F161" s="11"/>
      <c r="G161" s="11"/>
      <c r="H161" s="21"/>
      <c r="I161" s="23">
        <f t="shared" ref="I161:U161" si="130">SUM(I152:I160)</f>
        <v>20747.769999999997</v>
      </c>
      <c r="J161" s="23">
        <f t="shared" si="130"/>
        <v>23792.52</v>
      </c>
      <c r="K161" s="23">
        <f t="shared" si="130"/>
        <v>35452.119999999995</v>
      </c>
      <c r="L161" s="23">
        <f t="shared" si="130"/>
        <v>26132.13</v>
      </c>
      <c r="M161" s="23">
        <f t="shared" si="130"/>
        <v>29502.02</v>
      </c>
      <c r="N161" s="23">
        <f t="shared" si="130"/>
        <v>50582.11</v>
      </c>
      <c r="O161" s="23">
        <f t="shared" si="130"/>
        <v>38664.269999999997</v>
      </c>
      <c r="P161" s="23">
        <f t="shared" si="130"/>
        <v>35060.799999999996</v>
      </c>
      <c r="Q161" s="23">
        <f t="shared" si="130"/>
        <v>25178.070000000003</v>
      </c>
      <c r="R161" s="23">
        <f t="shared" si="130"/>
        <v>23878.22</v>
      </c>
      <c r="S161" s="23">
        <f t="shared" si="130"/>
        <v>34833.549999999996</v>
      </c>
      <c r="T161" s="23">
        <f t="shared" si="130"/>
        <v>19379.11</v>
      </c>
      <c r="U161" s="23">
        <f t="shared" si="130"/>
        <v>363202.69000000006</v>
      </c>
      <c r="W161" s="179"/>
      <c r="X161" s="179"/>
      <c r="Y161" s="179"/>
      <c r="Z161" s="179"/>
      <c r="AA161" s="179"/>
      <c r="AB161" s="179"/>
      <c r="AC161" s="179"/>
      <c r="AD161" s="179"/>
      <c r="AE161" s="179"/>
      <c r="AF161" s="179"/>
      <c r="AG161" s="179"/>
      <c r="AH161" s="179"/>
      <c r="AI161" s="183"/>
    </row>
    <row r="162" spans="2:48" ht="12" customHeight="1" x14ac:dyDescent="0.25">
      <c r="C162" s="26"/>
      <c r="D162" s="26"/>
      <c r="E162" s="11"/>
      <c r="F162" s="11"/>
      <c r="G162" s="11"/>
      <c r="H162" s="11"/>
      <c r="I162" s="12"/>
      <c r="J162" s="13" t="str">
        <f>IF(H162="","",(#REF!/H162)+(#REF!/#REF!))</f>
        <v/>
      </c>
      <c r="K162" s="13" t="str">
        <f>IF(H162="","",J162/12)</f>
        <v/>
      </c>
      <c r="W162" s="25"/>
      <c r="X162" s="25"/>
      <c r="Y162" s="25"/>
      <c r="Z162" s="25"/>
      <c r="AA162" s="25"/>
      <c r="AB162" s="25"/>
      <c r="AC162" s="25"/>
      <c r="AD162" s="25"/>
      <c r="AE162" s="25"/>
      <c r="AF162" s="25"/>
      <c r="AG162" s="25"/>
      <c r="AH162" s="25"/>
    </row>
    <row r="163" spans="2:48" ht="12" customHeight="1" x14ac:dyDescent="0.25">
      <c r="C163" s="28" t="s">
        <v>18</v>
      </c>
      <c r="D163" s="28" t="s">
        <v>18</v>
      </c>
      <c r="E163" s="11"/>
      <c r="F163" s="11"/>
      <c r="G163" s="11"/>
      <c r="H163" s="11"/>
      <c r="I163" s="12"/>
      <c r="J163" s="13" t="str">
        <f>IF(H163="","",(#REF!/H163)+(#REF!/#REF!))</f>
        <v/>
      </c>
      <c r="K163" s="13" t="str">
        <f>IF(H163="","",J163/12)</f>
        <v/>
      </c>
      <c r="W163" s="25"/>
      <c r="X163" s="25"/>
      <c r="Y163" s="25"/>
      <c r="Z163" s="25"/>
      <c r="AA163" s="25"/>
      <c r="AB163" s="25"/>
      <c r="AC163" s="25"/>
      <c r="AD163" s="25"/>
      <c r="AE163" s="25"/>
      <c r="AF163" s="25"/>
      <c r="AG163" s="25"/>
      <c r="AH163" s="25"/>
    </row>
    <row r="164" spans="2:48" ht="12" customHeight="1" x14ac:dyDescent="0.25">
      <c r="B164" s="1" t="str">
        <f>"camas"&amp;"Accounting"&amp;C164</f>
        <v>camasAccountingFINCHG</v>
      </c>
      <c r="C164" s="58" t="s">
        <v>19</v>
      </c>
      <c r="D164" s="58" t="s">
        <v>20</v>
      </c>
      <c r="E164" s="11">
        <v>0</v>
      </c>
      <c r="F164" s="11">
        <v>0</v>
      </c>
      <c r="G164" s="11">
        <v>0</v>
      </c>
      <c r="H164" s="11"/>
      <c r="I164" s="14">
        <v>0</v>
      </c>
      <c r="J164" s="14">
        <v>0</v>
      </c>
      <c r="K164" s="14">
        <v>0</v>
      </c>
      <c r="L164" s="14">
        <v>0</v>
      </c>
      <c r="M164" s="14">
        <v>0</v>
      </c>
      <c r="N164" s="14">
        <v>0</v>
      </c>
      <c r="O164" s="14">
        <v>0</v>
      </c>
      <c r="P164" s="14">
        <v>0</v>
      </c>
      <c r="Q164" s="14">
        <v>0</v>
      </c>
      <c r="R164" s="14">
        <v>0</v>
      </c>
      <c r="S164" s="14">
        <v>0</v>
      </c>
      <c r="T164" s="14">
        <v>0</v>
      </c>
      <c r="U164" s="16">
        <f>SUM(I164:T164)</f>
        <v>0</v>
      </c>
      <c r="W164" s="25"/>
      <c r="X164" s="25"/>
      <c r="Y164" s="25"/>
      <c r="Z164" s="25"/>
      <c r="AA164" s="25"/>
      <c r="AB164" s="25"/>
      <c r="AC164" s="25"/>
      <c r="AD164" s="25"/>
      <c r="AE164" s="25"/>
      <c r="AF164" s="25"/>
      <c r="AG164" s="25"/>
      <c r="AH164" s="25"/>
    </row>
    <row r="165" spans="2:48" ht="12" customHeight="1" x14ac:dyDescent="0.25">
      <c r="C165" s="58"/>
      <c r="D165" s="58"/>
      <c r="E165" s="11"/>
      <c r="F165" s="11"/>
      <c r="G165" s="11"/>
      <c r="H165" s="11"/>
      <c r="I165" s="12"/>
      <c r="J165" s="13" t="str">
        <f>IF(H165="","",(#REF!/H165)+(#REF!/#REF!))</f>
        <v/>
      </c>
      <c r="K165" s="13" t="str">
        <f>IF(H165="","",J165/12)</f>
        <v/>
      </c>
      <c r="W165" s="25"/>
      <c r="X165" s="25"/>
      <c r="Y165" s="25"/>
      <c r="Z165" s="25"/>
      <c r="AA165" s="25"/>
      <c r="AB165" s="25"/>
      <c r="AC165" s="25"/>
      <c r="AD165" s="25"/>
      <c r="AE165" s="25"/>
      <c r="AF165" s="25"/>
      <c r="AG165" s="25"/>
      <c r="AH165" s="25"/>
    </row>
    <row r="166" spans="2:48" ht="12" customHeight="1" x14ac:dyDescent="0.25">
      <c r="C166" s="32"/>
      <c r="D166" s="31" t="s">
        <v>29</v>
      </c>
      <c r="E166" s="11"/>
      <c r="F166" s="11"/>
      <c r="G166" s="11"/>
      <c r="H166" s="11"/>
      <c r="I166" s="23">
        <f t="shared" ref="I166:U166" si="131">SUM(I164:I165)</f>
        <v>0</v>
      </c>
      <c r="J166" s="23">
        <f t="shared" si="131"/>
        <v>0</v>
      </c>
      <c r="K166" s="23">
        <f t="shared" si="131"/>
        <v>0</v>
      </c>
      <c r="L166" s="23">
        <f t="shared" si="131"/>
        <v>0</v>
      </c>
      <c r="M166" s="23">
        <f t="shared" si="131"/>
        <v>0</v>
      </c>
      <c r="N166" s="23">
        <f t="shared" si="131"/>
        <v>0</v>
      </c>
      <c r="O166" s="23">
        <f t="shared" si="131"/>
        <v>0</v>
      </c>
      <c r="P166" s="23">
        <f t="shared" si="131"/>
        <v>0</v>
      </c>
      <c r="Q166" s="23">
        <f t="shared" si="131"/>
        <v>0</v>
      </c>
      <c r="R166" s="23">
        <f t="shared" si="131"/>
        <v>0</v>
      </c>
      <c r="S166" s="23">
        <f t="shared" si="131"/>
        <v>0</v>
      </c>
      <c r="T166" s="23">
        <f t="shared" si="131"/>
        <v>0</v>
      </c>
      <c r="U166" s="23">
        <f t="shared" si="131"/>
        <v>0</v>
      </c>
      <c r="V166" s="16"/>
      <c r="W166" s="25"/>
      <c r="X166" s="25"/>
      <c r="Y166" s="25"/>
      <c r="Z166" s="25"/>
      <c r="AA166" s="25"/>
      <c r="AB166" s="25"/>
      <c r="AC166" s="25"/>
      <c r="AD166" s="25"/>
      <c r="AE166" s="25"/>
      <c r="AF166" s="25"/>
      <c r="AG166" s="25"/>
      <c r="AH166" s="25"/>
    </row>
    <row r="167" spans="2:48" ht="12" customHeight="1" x14ac:dyDescent="0.25">
      <c r="C167" s="32"/>
      <c r="D167" s="32"/>
      <c r="E167" s="11"/>
      <c r="F167" s="11"/>
      <c r="G167" s="11"/>
      <c r="H167" s="11"/>
      <c r="U167" s="14"/>
      <c r="W167" s="25"/>
      <c r="X167" s="25"/>
      <c r="Y167" s="25"/>
      <c r="Z167" s="25"/>
      <c r="AA167" s="25"/>
      <c r="AB167" s="25"/>
      <c r="AC167" s="25"/>
      <c r="AD167" s="25"/>
      <c r="AE167" s="25"/>
      <c r="AF167" s="25"/>
      <c r="AG167" s="25"/>
      <c r="AH167" s="25"/>
    </row>
    <row r="168" spans="2:48" ht="12" customHeight="1" thickBot="1" x14ac:dyDescent="0.3">
      <c r="C168" s="32"/>
      <c r="D168" s="31" t="s">
        <v>41</v>
      </c>
      <c r="E168" s="11"/>
      <c r="F168" s="11"/>
      <c r="G168" s="11"/>
      <c r="H168" s="11"/>
      <c r="I168" s="24">
        <f t="shared" ref="I168:U168" si="132">SUM(I23,I34,I46,I61,I116,I139,I149,I161,I166)</f>
        <v>152499.47</v>
      </c>
      <c r="J168" s="24">
        <f t="shared" si="132"/>
        <v>174500.12</v>
      </c>
      <c r="K168" s="24">
        <f t="shared" si="132"/>
        <v>187220.13999999998</v>
      </c>
      <c r="L168" s="24">
        <f t="shared" si="132"/>
        <v>171630.94</v>
      </c>
      <c r="M168" s="24">
        <f t="shared" si="132"/>
        <v>177229.09</v>
      </c>
      <c r="N168" s="24">
        <f t="shared" si="132"/>
        <v>196315.565</v>
      </c>
      <c r="O168" s="24">
        <f t="shared" si="132"/>
        <v>180611.07500000001</v>
      </c>
      <c r="P168" s="24">
        <f t="shared" si="132"/>
        <v>178526.81999999998</v>
      </c>
      <c r="Q168" s="24">
        <f t="shared" si="132"/>
        <v>163700.39999999997</v>
      </c>
      <c r="R168" s="24">
        <f t="shared" si="132"/>
        <v>134718.78</v>
      </c>
      <c r="S168" s="24">
        <f t="shared" si="132"/>
        <v>153780.24</v>
      </c>
      <c r="T168" s="24">
        <f t="shared" si="132"/>
        <v>170785.64</v>
      </c>
      <c r="U168" s="103">
        <f t="shared" si="132"/>
        <v>2041518.2799999998</v>
      </c>
      <c r="W168" s="25"/>
      <c r="X168" s="25"/>
      <c r="Y168" s="25"/>
      <c r="Z168" s="25"/>
      <c r="AA168" s="25"/>
      <c r="AB168" s="25"/>
      <c r="AC168" s="25"/>
      <c r="AD168" s="25"/>
      <c r="AE168" s="25"/>
      <c r="AF168" s="25"/>
      <c r="AG168" s="25"/>
      <c r="AH168" s="25"/>
    </row>
    <row r="169" spans="2:48" ht="12" customHeight="1" thickTop="1" x14ac:dyDescent="0.25">
      <c r="C169" s="26"/>
      <c r="D169" s="26"/>
      <c r="E169" s="11"/>
      <c r="F169" s="11"/>
      <c r="G169" s="11"/>
      <c r="H169" s="11"/>
      <c r="I169" s="12"/>
      <c r="J169" s="13"/>
      <c r="K169" s="13"/>
      <c r="W169" s="25"/>
      <c r="X169" s="25"/>
      <c r="Y169" s="25"/>
      <c r="Z169" s="25"/>
      <c r="AA169" s="25"/>
      <c r="AB169" s="25"/>
      <c r="AC169" s="25"/>
      <c r="AD169" s="25"/>
      <c r="AE169" s="25"/>
      <c r="AF169" s="25"/>
      <c r="AG169" s="25"/>
      <c r="AH169" s="25"/>
    </row>
    <row r="170" spans="2:48" ht="12" customHeight="1" x14ac:dyDescent="0.25">
      <c r="C170" s="26"/>
      <c r="D170" s="26">
        <v>0</v>
      </c>
      <c r="E170" s="11" t="s">
        <v>1103</v>
      </c>
      <c r="F170" s="11" t="s">
        <v>1103</v>
      </c>
      <c r="G170" s="11" t="s">
        <v>1103</v>
      </c>
      <c r="H170" s="11"/>
      <c r="I170" s="12">
        <f t="shared" ref="I170:U170" si="133">+I32+I22</f>
        <v>58959.83</v>
      </c>
      <c r="J170" s="12">
        <f t="shared" si="133"/>
        <v>66945.34</v>
      </c>
      <c r="K170" s="12">
        <f t="shared" si="133"/>
        <v>64139.92</v>
      </c>
      <c r="L170" s="12">
        <f t="shared" si="133"/>
        <v>64246.21</v>
      </c>
      <c r="M170" s="12">
        <f t="shared" si="133"/>
        <v>64139.92</v>
      </c>
      <c r="N170" s="12">
        <f t="shared" si="133"/>
        <v>64458.7</v>
      </c>
      <c r="O170" s="12">
        <f t="shared" si="133"/>
        <v>64246.18</v>
      </c>
      <c r="P170" s="12">
        <f t="shared" si="133"/>
        <v>64327.69</v>
      </c>
      <c r="Q170" s="12">
        <f t="shared" si="133"/>
        <v>64273.35</v>
      </c>
      <c r="R170" s="12">
        <f t="shared" si="133"/>
        <v>71594.59</v>
      </c>
      <c r="S170" s="12">
        <f t="shared" si="133"/>
        <v>71594.59</v>
      </c>
      <c r="T170" s="12">
        <f t="shared" si="133"/>
        <v>71103.62</v>
      </c>
      <c r="U170" s="12">
        <f t="shared" si="133"/>
        <v>790029.94</v>
      </c>
      <c r="W170" s="25"/>
      <c r="X170" s="25"/>
      <c r="Y170" s="25"/>
      <c r="Z170" s="25"/>
      <c r="AA170" s="25"/>
      <c r="AB170" s="25"/>
      <c r="AC170" s="25"/>
      <c r="AD170" s="25"/>
      <c r="AE170" s="25"/>
      <c r="AF170" s="25"/>
      <c r="AG170" s="25"/>
      <c r="AH170" s="25"/>
    </row>
    <row r="171" spans="2:48" ht="12" customHeight="1" x14ac:dyDescent="0.25">
      <c r="C171" s="32"/>
      <c r="E171" s="11" t="s">
        <v>1104</v>
      </c>
      <c r="F171" s="11" t="s">
        <v>1104</v>
      </c>
      <c r="G171" s="11" t="s">
        <v>1104</v>
      </c>
      <c r="H171" s="11"/>
      <c r="I171" s="141">
        <v>93539.640000000014</v>
      </c>
      <c r="J171" s="141">
        <v>107554.77999999998</v>
      </c>
      <c r="K171" s="141">
        <v>123080.22000000006</v>
      </c>
      <c r="L171" s="141">
        <v>107384.72999999998</v>
      </c>
      <c r="M171" s="141">
        <v>113089.17000000001</v>
      </c>
      <c r="N171" s="141">
        <v>131856.86499999996</v>
      </c>
      <c r="O171" s="141">
        <v>116364.89499999996</v>
      </c>
      <c r="P171" s="141">
        <v>114199.12999999995</v>
      </c>
      <c r="Q171" s="141">
        <v>99427.049999999959</v>
      </c>
      <c r="R171" s="141">
        <v>63124.189999999973</v>
      </c>
      <c r="S171" s="141">
        <v>82185.649999999951</v>
      </c>
      <c r="T171" s="141">
        <v>99682.019999999946</v>
      </c>
      <c r="U171" s="16">
        <f>+SUM(I171:T171)</f>
        <v>1251488.3399999999</v>
      </c>
      <c r="W171" s="25"/>
      <c r="X171" s="25"/>
      <c r="Y171" s="25"/>
      <c r="Z171" s="25"/>
      <c r="AA171" s="25"/>
      <c r="AB171" s="25"/>
      <c r="AC171" s="25"/>
      <c r="AD171" s="25"/>
      <c r="AE171" s="25"/>
      <c r="AF171" s="25"/>
      <c r="AG171" s="25"/>
      <c r="AH171" s="25"/>
    </row>
    <row r="172" spans="2:48" x14ac:dyDescent="0.25">
      <c r="I172" s="14">
        <f>+I168-I171</f>
        <v>58959.829999999987</v>
      </c>
      <c r="J172" s="14">
        <f>+J168-J171</f>
        <v>66945.340000000011</v>
      </c>
      <c r="K172" s="14">
        <f>+K168-K171</f>
        <v>64139.919999999925</v>
      </c>
      <c r="L172" s="14">
        <f>+L168-L171</f>
        <v>64246.210000000021</v>
      </c>
      <c r="M172" s="14">
        <f t="shared" ref="M172:S172" si="134">+M168-M171</f>
        <v>64139.919999999984</v>
      </c>
      <c r="N172" s="14">
        <f t="shared" si="134"/>
        <v>64458.700000000041</v>
      </c>
      <c r="O172" s="14">
        <f t="shared" si="134"/>
        <v>64246.180000000051</v>
      </c>
      <c r="P172" s="14">
        <f t="shared" si="134"/>
        <v>64327.690000000031</v>
      </c>
      <c r="Q172" s="14">
        <f t="shared" si="134"/>
        <v>64273.350000000006</v>
      </c>
      <c r="R172" s="14">
        <f t="shared" si="134"/>
        <v>71594.590000000026</v>
      </c>
      <c r="S172" s="14">
        <f t="shared" si="134"/>
        <v>71594.59000000004</v>
      </c>
      <c r="T172" s="14">
        <f>+T168-T171</f>
        <v>71103.620000000068</v>
      </c>
      <c r="U172" s="16">
        <f>+SUM(I172:T172)</f>
        <v>790029.94000000018</v>
      </c>
      <c r="AI172" s="94">
        <f>AI32+AI46+AI61+AI116+AI139+AI149</f>
        <v>12038.500798926842</v>
      </c>
      <c r="AJ172" s="1" t="s">
        <v>1175</v>
      </c>
      <c r="AM172" s="2" t="s">
        <v>1350</v>
      </c>
      <c r="AN172" s="187">
        <f>+AN149+AN139+AN116+AN61+AN34+AN46</f>
        <v>3217.0845725928175</v>
      </c>
      <c r="AP172" s="187">
        <f>+AP149+AP139+AP116+AP61+AP34+AP46</f>
        <v>65.282569659591786</v>
      </c>
      <c r="AR172" s="187">
        <f>+AR149+AR139+AR116+AR61+AR34+AR46</f>
        <v>59.166171860238862</v>
      </c>
      <c r="AT172" s="187">
        <f>+AT149+AT139+AT116+AT61+AT34+AT46</f>
        <v>0</v>
      </c>
      <c r="AV172" s="228">
        <f>AN172+AT172+AR172+AP172</f>
        <v>3341.5333141126484</v>
      </c>
    </row>
    <row r="173" spans="2:48" x14ac:dyDescent="0.25">
      <c r="E173" s="3" t="s">
        <v>1105</v>
      </c>
      <c r="F173" s="3" t="s">
        <v>1105</v>
      </c>
      <c r="G173" s="3" t="s">
        <v>1105</v>
      </c>
      <c r="I173" s="14">
        <f>+I170-I172</f>
        <v>0</v>
      </c>
      <c r="J173" s="14">
        <f>+J170-J172</f>
        <v>0</v>
      </c>
      <c r="K173" s="14">
        <f>+K170-K172</f>
        <v>7.2759576141834259E-11</v>
      </c>
      <c r="L173" s="14">
        <f>+L170-L172</f>
        <v>0</v>
      </c>
      <c r="M173" s="14">
        <f t="shared" ref="M173:S173" si="135">+M170-M172</f>
        <v>0</v>
      </c>
      <c r="N173" s="14">
        <f t="shared" si="135"/>
        <v>0</v>
      </c>
      <c r="O173" s="14">
        <f t="shared" si="135"/>
        <v>0</v>
      </c>
      <c r="P173" s="14">
        <f t="shared" si="135"/>
        <v>0</v>
      </c>
      <c r="Q173" s="14">
        <f t="shared" si="135"/>
        <v>0</v>
      </c>
      <c r="R173" s="14">
        <f t="shared" si="135"/>
        <v>0</v>
      </c>
      <c r="S173" s="14">
        <f t="shared" si="135"/>
        <v>0</v>
      </c>
      <c r="T173" s="14">
        <f>+T170-T172</f>
        <v>0</v>
      </c>
      <c r="U173" s="16">
        <f>SUM(I173:T173)</f>
        <v>7.2759576141834259E-11</v>
      </c>
    </row>
    <row r="174" spans="2:48" x14ac:dyDescent="0.25">
      <c r="I174" s="14">
        <f>+I171+I170</f>
        <v>152499.47000000003</v>
      </c>
      <c r="J174" s="14">
        <f t="shared" ref="J174:T174" si="136">+J171+J170</f>
        <v>174500.12</v>
      </c>
      <c r="K174" s="14">
        <f t="shared" si="136"/>
        <v>187220.14000000007</v>
      </c>
      <c r="L174" s="14">
        <f t="shared" si="136"/>
        <v>171630.93999999997</v>
      </c>
      <c r="M174" s="14">
        <f t="shared" si="136"/>
        <v>177229.09000000003</v>
      </c>
      <c r="N174" s="14">
        <f t="shared" si="136"/>
        <v>196315.56499999994</v>
      </c>
      <c r="O174" s="14">
        <f t="shared" si="136"/>
        <v>180611.07499999995</v>
      </c>
      <c r="P174" s="14">
        <f t="shared" si="136"/>
        <v>178526.81999999995</v>
      </c>
      <c r="Q174" s="14">
        <f>+Q171+Q170</f>
        <v>163700.39999999997</v>
      </c>
      <c r="R174" s="14">
        <f t="shared" si="136"/>
        <v>134718.77999999997</v>
      </c>
      <c r="S174" s="14">
        <f t="shared" si="136"/>
        <v>153780.23999999993</v>
      </c>
      <c r="T174" s="14">
        <f t="shared" si="136"/>
        <v>170785.63999999996</v>
      </c>
      <c r="U174" s="14">
        <f>+U171+U170</f>
        <v>2041518.2799999998</v>
      </c>
      <c r="V174" s="1" t="s">
        <v>1352</v>
      </c>
      <c r="AJ174" s="234">
        <f>+AJ61+AJ11</f>
        <v>11.981369089625971</v>
      </c>
    </row>
    <row r="175" spans="2:48" x14ac:dyDescent="0.25">
      <c r="I175" s="95">
        <f>+I174-I168</f>
        <v>0</v>
      </c>
      <c r="J175" s="95">
        <f t="shared" ref="J175:T175" si="137">+J174-J168</f>
        <v>0</v>
      </c>
      <c r="K175" s="95">
        <f t="shared" si="137"/>
        <v>0</v>
      </c>
      <c r="L175" s="95">
        <f t="shared" si="137"/>
        <v>0</v>
      </c>
      <c r="M175" s="95">
        <f t="shared" si="137"/>
        <v>0</v>
      </c>
      <c r="N175" s="95">
        <f t="shared" si="137"/>
        <v>0</v>
      </c>
      <c r="O175" s="95">
        <f t="shared" si="137"/>
        <v>0</v>
      </c>
      <c r="P175" s="95">
        <f t="shared" si="137"/>
        <v>0</v>
      </c>
      <c r="Q175" s="95">
        <f t="shared" si="137"/>
        <v>0</v>
      </c>
      <c r="R175" s="95">
        <f t="shared" si="137"/>
        <v>0</v>
      </c>
      <c r="S175" s="95">
        <f t="shared" si="137"/>
        <v>0</v>
      </c>
      <c r="T175" s="95">
        <f t="shared" si="137"/>
        <v>0</v>
      </c>
      <c r="U175" s="95">
        <f>+U174-U168</f>
        <v>0</v>
      </c>
    </row>
    <row r="176" spans="2:48" x14ac:dyDescent="0.25">
      <c r="I176" s="14"/>
      <c r="J176" s="14"/>
      <c r="K176" s="14"/>
      <c r="L176" s="14"/>
      <c r="M176" s="14"/>
      <c r="N176" s="14"/>
    </row>
    <row r="177" spans="9:21" x14ac:dyDescent="0.25">
      <c r="I177" s="207">
        <f>+I168/$U$168</f>
        <v>7.4699047024942636E-2</v>
      </c>
      <c r="J177" s="207">
        <f t="shared" ref="J177:U177" si="138">+J168/$U$168</f>
        <v>8.5475658831720092E-2</v>
      </c>
      <c r="K177" s="207">
        <f t="shared" si="138"/>
        <v>9.1706325549041859E-2</v>
      </c>
      <c r="L177" s="207">
        <f t="shared" si="138"/>
        <v>8.4070244034258668E-2</v>
      </c>
      <c r="M177" s="207">
        <f t="shared" si="138"/>
        <v>8.681239435191343E-2</v>
      </c>
      <c r="N177" s="207">
        <f t="shared" si="138"/>
        <v>9.6161551392035555E-2</v>
      </c>
      <c r="O177" s="207">
        <f t="shared" si="138"/>
        <v>8.8468997201435806E-2</v>
      </c>
      <c r="P177" s="207">
        <f t="shared" si="138"/>
        <v>8.7448063408964424E-2</v>
      </c>
      <c r="Q177" s="207">
        <f t="shared" si="138"/>
        <v>8.0185615580184749E-2</v>
      </c>
      <c r="R177" s="207">
        <f t="shared" si="138"/>
        <v>6.5989504634756446E-2</v>
      </c>
      <c r="S177" s="207">
        <f t="shared" si="138"/>
        <v>7.5326408539432718E-2</v>
      </c>
      <c r="T177" s="207">
        <f t="shared" si="138"/>
        <v>8.3656189451313673E-2</v>
      </c>
      <c r="U177" s="207">
        <f t="shared" si="138"/>
        <v>1</v>
      </c>
    </row>
    <row r="178" spans="9:21" x14ac:dyDescent="0.25">
      <c r="I178" s="95"/>
      <c r="J178" s="95"/>
      <c r="K178" s="95"/>
      <c r="L178" s="95"/>
      <c r="M178" s="95"/>
      <c r="N178" s="95"/>
      <c r="O178" s="95"/>
      <c r="P178" s="95"/>
      <c r="Q178" s="95"/>
    </row>
  </sheetData>
  <mergeCells count="4">
    <mergeCell ref="AM4:AN4"/>
    <mergeCell ref="AO4:AP4"/>
    <mergeCell ref="AQ4:AR4"/>
    <mergeCell ref="AS4:AT4"/>
  </mergeCells>
  <conditionalFormatting sqref="AJ6:AJ10 AK6:AK141 AJ12:AK20 AJ118:AJ119 AJ140:AJ141 AK146:AK157 AJ148 AJ150:AJ157 AJ158:AK158 AJ159:AJ161 AK159:AK172">
    <cfRule type="cellIs" dxfId="8" priority="5" operator="greaterThan">
      <formula>0</formula>
    </cfRule>
  </conditionalFormatting>
  <conditionalFormatting sqref="AJ21:AJ25 AJ33 AJ35:AJ37 AJ47:AJ49">
    <cfRule type="cellIs" dxfId="7" priority="4" operator="greaterThan">
      <formula>0</formula>
    </cfRule>
  </conditionalFormatting>
  <conditionalFormatting sqref="AJ60">
    <cfRule type="cellIs" dxfId="6" priority="3" operator="greaterThan">
      <formula>0</formula>
    </cfRule>
  </conditionalFormatting>
  <conditionalFormatting sqref="AJ62:AJ64 AJ115">
    <cfRule type="cellIs" dxfId="5" priority="2" operator="greaterThan">
      <formula>0</formula>
    </cfRule>
  </conditionalFormatting>
  <pageMargins left="0.7" right="0.7" top="0.75" bottom="0.75" header="0.3" footer="0.3"/>
  <pageSetup scale="20" fitToWidth="0" fitToHeight="0" orientation="portrait" r:id="rId1"/>
  <headerFooter alignWithMargins="0">
    <oddHeader>&amp;R&amp;F
&amp;A</oddHeader>
    <oddFooter>&amp;L&amp;D&amp;C&amp;P&amp;R&amp;T</oddFooter>
  </headerFooter>
  <colBreaks count="1" manualBreakCount="1">
    <brk id="11" max="17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6" tint="0.59999389629810485"/>
  </sheetPr>
  <dimension ref="A1:AS252"/>
  <sheetViews>
    <sheetView showGridLines="0" view="pageBreakPreview" zoomScale="70" zoomScaleNormal="85" zoomScaleSheetLayoutView="70" workbookViewId="0">
      <pane xSplit="8" ySplit="5" topLeftCell="I6" activePane="bottomRight" state="frozen"/>
      <selection activeCell="M20" sqref="M20"/>
      <selection pane="topRight" activeCell="M20" sqref="M20"/>
      <selection pane="bottomLeft" activeCell="M20" sqref="M20"/>
      <selection pane="bottomRight" activeCell="M20" sqref="M20"/>
    </sheetView>
  </sheetViews>
  <sheetFormatPr defaultColWidth="10.28515625" defaultRowHeight="12.75" outlineLevelCol="1" x14ac:dyDescent="0.2"/>
  <cols>
    <col min="1" max="1" width="10.28515625" style="45"/>
    <col min="2" max="2" width="26.140625" style="45" customWidth="1"/>
    <col min="3" max="3" width="20.28515625" style="45" customWidth="1"/>
    <col min="4" max="4" width="27.5703125" style="45" bestFit="1" customWidth="1"/>
    <col min="5" max="7" width="11.7109375" style="53" bestFit="1" customWidth="1"/>
    <col min="8" max="8" width="1.85546875" style="45" customWidth="1"/>
    <col min="9" max="9" width="14.5703125" style="45" customWidth="1" outlineLevel="1"/>
    <col min="10" max="12" width="15" style="45" customWidth="1" outlineLevel="1"/>
    <col min="13" max="13" width="14.5703125" style="45" customWidth="1" outlineLevel="1"/>
    <col min="14" max="14" width="13.28515625" style="45" customWidth="1" outlineLevel="1"/>
    <col min="15" max="17" width="15" style="45" customWidth="1" outlineLevel="1"/>
    <col min="18" max="18" width="15.42578125" style="45" customWidth="1" outlineLevel="1"/>
    <col min="19" max="19" width="15" style="45" customWidth="1" outlineLevel="1"/>
    <col min="20" max="20" width="15.42578125" style="45" customWidth="1" outlineLevel="1"/>
    <col min="21" max="21" width="17.140625" style="45" bestFit="1" customWidth="1"/>
    <col min="22" max="22" width="3.42578125" style="45" customWidth="1"/>
    <col min="23" max="34" width="8.42578125" style="45" customWidth="1" outlineLevel="1"/>
    <col min="35" max="35" width="10.28515625" style="40"/>
    <col min="36" max="36" width="10.28515625" style="45"/>
    <col min="37" max="37" width="20.5703125" style="45" customWidth="1" outlineLevel="1"/>
    <col min="38" max="43" width="10.28515625" style="45" customWidth="1" outlineLevel="1"/>
    <col min="44" max="16384" width="10.28515625" style="45"/>
  </cols>
  <sheetData>
    <row r="1" spans="2:43" ht="12" customHeight="1" x14ac:dyDescent="0.25">
      <c r="C1" s="57" t="s">
        <v>45</v>
      </c>
      <c r="M1" s="118"/>
      <c r="N1" s="89"/>
    </row>
    <row r="2" spans="2:43" ht="12" customHeight="1" x14ac:dyDescent="0.25">
      <c r="C2" s="57" t="s">
        <v>681</v>
      </c>
      <c r="M2" s="118"/>
      <c r="N2" s="89"/>
    </row>
    <row r="3" spans="2:43" ht="12" customHeight="1" x14ac:dyDescent="0.25">
      <c r="C3" s="2" t="s">
        <v>1371</v>
      </c>
      <c r="L3" s="63"/>
      <c r="M3" s="118"/>
      <c r="N3" s="89"/>
      <c r="AI3" s="40" t="s">
        <v>1331</v>
      </c>
      <c r="AJ3" s="45" t="s">
        <v>26</v>
      </c>
    </row>
    <row r="4" spans="2:43" ht="12" customHeight="1" x14ac:dyDescent="0.2">
      <c r="D4" s="64"/>
      <c r="E4" s="293">
        <v>44927</v>
      </c>
      <c r="F4" s="293">
        <v>45108</v>
      </c>
      <c r="G4" s="293">
        <v>45292</v>
      </c>
      <c r="I4" s="297">
        <v>45017</v>
      </c>
      <c r="J4" s="297">
        <v>45047</v>
      </c>
      <c r="K4" s="297">
        <v>45078</v>
      </c>
      <c r="L4" s="36">
        <v>45108</v>
      </c>
      <c r="M4" s="36">
        <v>45139</v>
      </c>
      <c r="N4" s="36">
        <v>45170</v>
      </c>
      <c r="O4" s="36">
        <v>45200</v>
      </c>
      <c r="P4" s="36">
        <v>45231</v>
      </c>
      <c r="Q4" s="36">
        <v>45261</v>
      </c>
      <c r="R4" s="38">
        <v>45292</v>
      </c>
      <c r="S4" s="38">
        <v>45323</v>
      </c>
      <c r="T4" s="38">
        <v>45352</v>
      </c>
      <c r="U4" s="91" t="s">
        <v>1370</v>
      </c>
      <c r="W4" s="297">
        <v>45017</v>
      </c>
      <c r="X4" s="297">
        <v>45047</v>
      </c>
      <c r="Y4" s="297">
        <v>45078</v>
      </c>
      <c r="Z4" s="36">
        <v>45108</v>
      </c>
      <c r="AA4" s="36">
        <v>45139</v>
      </c>
      <c r="AB4" s="36">
        <v>45170</v>
      </c>
      <c r="AC4" s="36">
        <v>45200</v>
      </c>
      <c r="AD4" s="36">
        <v>45231</v>
      </c>
      <c r="AE4" s="36">
        <v>45261</v>
      </c>
      <c r="AF4" s="38">
        <v>45292</v>
      </c>
      <c r="AG4" s="38">
        <v>45323</v>
      </c>
      <c r="AH4" s="38">
        <v>45352</v>
      </c>
      <c r="AI4" s="91" t="s">
        <v>1370</v>
      </c>
      <c r="AJ4" s="91" t="s">
        <v>1370</v>
      </c>
      <c r="AL4" s="305" t="s">
        <v>1325</v>
      </c>
      <c r="AM4" s="306"/>
      <c r="AN4" s="305" t="s">
        <v>1326</v>
      </c>
      <c r="AO4" s="306"/>
      <c r="AP4" s="305" t="s">
        <v>1327</v>
      </c>
      <c r="AQ4" s="306"/>
    </row>
    <row r="5" spans="2:43" ht="12" customHeight="1" x14ac:dyDescent="0.2">
      <c r="C5" s="67" t="s">
        <v>0</v>
      </c>
      <c r="D5" s="64" t="s">
        <v>1</v>
      </c>
      <c r="E5" s="68" t="s">
        <v>1305</v>
      </c>
      <c r="F5" s="68" t="s">
        <v>1305</v>
      </c>
      <c r="G5" s="68" t="s">
        <v>1305</v>
      </c>
      <c r="H5" s="64"/>
      <c r="I5" s="298" t="s">
        <v>21</v>
      </c>
      <c r="J5" s="298" t="s">
        <v>21</v>
      </c>
      <c r="K5" s="298" t="s">
        <v>21</v>
      </c>
      <c r="L5" s="37" t="s">
        <v>21</v>
      </c>
      <c r="M5" s="37" t="s">
        <v>21</v>
      </c>
      <c r="N5" s="37" t="s">
        <v>21</v>
      </c>
      <c r="O5" s="37" t="s">
        <v>21</v>
      </c>
      <c r="P5" s="37" t="s">
        <v>21</v>
      </c>
      <c r="Q5" s="37" t="s">
        <v>21</v>
      </c>
      <c r="R5" s="39" t="s">
        <v>21</v>
      </c>
      <c r="S5" s="39" t="s">
        <v>21</v>
      </c>
      <c r="T5" s="39" t="s">
        <v>21</v>
      </c>
      <c r="U5" s="37" t="s">
        <v>21</v>
      </c>
      <c r="W5" s="69" t="s">
        <v>27</v>
      </c>
      <c r="X5" s="69" t="s">
        <v>27</v>
      </c>
      <c r="Y5" s="69" t="s">
        <v>27</v>
      </c>
      <c r="Z5" s="69" t="s">
        <v>27</v>
      </c>
      <c r="AA5" s="69" t="s">
        <v>27</v>
      </c>
      <c r="AB5" s="69" t="s">
        <v>27</v>
      </c>
      <c r="AC5" s="69" t="s">
        <v>27</v>
      </c>
      <c r="AD5" s="69" t="s">
        <v>27</v>
      </c>
      <c r="AE5" s="69" t="s">
        <v>27</v>
      </c>
      <c r="AF5" s="69" t="s">
        <v>27</v>
      </c>
      <c r="AG5" s="69" t="s">
        <v>27</v>
      </c>
      <c r="AH5" s="69" t="s">
        <v>27</v>
      </c>
      <c r="AI5" s="69" t="s">
        <v>27</v>
      </c>
      <c r="AJ5" s="216" t="s">
        <v>27</v>
      </c>
      <c r="AL5" s="209" t="s">
        <v>1328</v>
      </c>
      <c r="AM5" s="210" t="s">
        <v>1329</v>
      </c>
      <c r="AN5" s="209" t="s">
        <v>1328</v>
      </c>
      <c r="AO5" s="210" t="s">
        <v>1329</v>
      </c>
      <c r="AP5" s="209" t="s">
        <v>1328</v>
      </c>
      <c r="AQ5" s="210" t="s">
        <v>1329</v>
      </c>
    </row>
    <row r="6" spans="2:43" ht="12" customHeight="1" x14ac:dyDescent="0.2">
      <c r="I6" s="45">
        <v>7</v>
      </c>
      <c r="J6" s="45">
        <v>5</v>
      </c>
      <c r="K6" s="45">
        <v>6</v>
      </c>
      <c r="L6" s="45">
        <v>7</v>
      </c>
      <c r="M6" s="45">
        <v>8</v>
      </c>
      <c r="N6" s="45">
        <v>9</v>
      </c>
      <c r="O6" s="45">
        <v>10</v>
      </c>
      <c r="P6" s="45">
        <v>11</v>
      </c>
      <c r="Q6" s="45">
        <v>12</v>
      </c>
      <c r="R6" s="45">
        <v>13</v>
      </c>
      <c r="S6" s="45">
        <v>14</v>
      </c>
      <c r="T6" s="45">
        <v>15</v>
      </c>
    </row>
    <row r="7" spans="2:43" ht="12" customHeight="1" x14ac:dyDescent="0.2">
      <c r="E7" s="53" t="s">
        <v>1114</v>
      </c>
      <c r="F7" s="53" t="s">
        <v>1114</v>
      </c>
      <c r="G7" s="53" t="s">
        <v>1114</v>
      </c>
      <c r="H7" s="44"/>
      <c r="I7" s="115">
        <v>0</v>
      </c>
      <c r="J7" s="115">
        <v>0</v>
      </c>
      <c r="K7" s="115">
        <v>0</v>
      </c>
      <c r="L7" s="115">
        <v>0</v>
      </c>
      <c r="M7" s="115">
        <v>0</v>
      </c>
      <c r="N7" s="115">
        <v>0</v>
      </c>
      <c r="O7" s="115">
        <v>0</v>
      </c>
      <c r="P7" s="115">
        <v>0</v>
      </c>
      <c r="Q7" s="115">
        <v>0</v>
      </c>
      <c r="R7" s="115">
        <v>0</v>
      </c>
      <c r="S7" s="115">
        <v>0</v>
      </c>
      <c r="T7" s="115">
        <v>0</v>
      </c>
    </row>
    <row r="8" spans="2:43" ht="12" customHeight="1" x14ac:dyDescent="0.2">
      <c r="C8" s="70" t="s">
        <v>2</v>
      </c>
      <c r="D8" s="70" t="s">
        <v>2</v>
      </c>
      <c r="H8" s="44"/>
      <c r="I8" s="44"/>
    </row>
    <row r="9" spans="2:43" ht="12" customHeight="1" x14ac:dyDescent="0.2">
      <c r="C9" s="70"/>
      <c r="D9" s="71"/>
      <c r="E9" s="55"/>
      <c r="F9" s="55"/>
      <c r="G9" s="55"/>
      <c r="H9" s="55"/>
      <c r="I9" s="46"/>
      <c r="J9" s="49" t="str">
        <f>IF(H9="","",(#REF!/H9)+(#REF!/#REF!))</f>
        <v/>
      </c>
      <c r="K9" s="49" t="str">
        <f>IF(H9="","",J9/12)</f>
        <v/>
      </c>
      <c r="L9" s="72"/>
      <c r="M9" s="73"/>
      <c r="U9" s="73"/>
      <c r="W9" s="48"/>
      <c r="X9" s="48"/>
      <c r="Y9" s="48"/>
      <c r="Z9" s="48"/>
      <c r="AA9" s="48"/>
      <c r="AB9" s="48"/>
      <c r="AC9" s="48"/>
      <c r="AD9" s="48"/>
      <c r="AE9" s="48"/>
      <c r="AF9" s="48"/>
      <c r="AG9" s="48"/>
      <c r="AH9" s="48"/>
    </row>
    <row r="10" spans="2:43" ht="12" customHeight="1" x14ac:dyDescent="0.2">
      <c r="C10" s="42" t="s">
        <v>3</v>
      </c>
      <c r="D10" s="42" t="s">
        <v>3</v>
      </c>
      <c r="E10" s="55"/>
      <c r="F10" s="55"/>
      <c r="G10" s="55"/>
      <c r="H10" s="55"/>
      <c r="I10" s="49"/>
      <c r="J10" s="49" t="str">
        <f>IF(H10="","",(#REF!/H10)+(#REF!/#REF!))</f>
        <v/>
      </c>
      <c r="K10" s="49" t="str">
        <f>IF(H10="","",J10/12)</f>
        <v/>
      </c>
      <c r="L10" s="48"/>
      <c r="M10" s="48"/>
      <c r="N10" s="48"/>
      <c r="O10" s="48"/>
      <c r="P10" s="48"/>
      <c r="Q10" s="48"/>
      <c r="R10" s="48"/>
      <c r="S10" s="48"/>
      <c r="T10" s="48"/>
      <c r="U10" s="73"/>
      <c r="W10" s="48"/>
      <c r="X10" s="48"/>
      <c r="Y10" s="48"/>
      <c r="Z10" s="48"/>
      <c r="AA10" s="48"/>
      <c r="AB10" s="48"/>
      <c r="AC10" s="48"/>
      <c r="AD10" s="48"/>
      <c r="AE10" s="48"/>
      <c r="AF10" s="48"/>
      <c r="AG10" s="48"/>
      <c r="AH10" s="48"/>
    </row>
    <row r="11" spans="2:43" s="253" customFormat="1" ht="12" customHeight="1" x14ac:dyDescent="0.2">
      <c r="B11" s="241" t="str">
        <f>"ridge"&amp;"residential"&amp;C11</f>
        <v>ridgeresidentialRR32W1</v>
      </c>
      <c r="C11" s="232" t="s">
        <v>672</v>
      </c>
      <c r="D11" s="232" t="s">
        <v>83</v>
      </c>
      <c r="E11" s="238">
        <v>17.91</v>
      </c>
      <c r="F11" s="238">
        <v>17.91</v>
      </c>
      <c r="G11" s="238">
        <v>19.25</v>
      </c>
      <c r="H11" s="261"/>
      <c r="I11" s="243">
        <v>0</v>
      </c>
      <c r="J11" s="243">
        <v>8.94</v>
      </c>
      <c r="K11" s="243">
        <v>94.02</v>
      </c>
      <c r="L11" s="243">
        <v>120.88</v>
      </c>
      <c r="M11" s="243">
        <v>0</v>
      </c>
      <c r="N11" s="243">
        <v>0</v>
      </c>
      <c r="O11" s="243">
        <v>0</v>
      </c>
      <c r="P11" s="243">
        <v>0</v>
      </c>
      <c r="Q11" s="243">
        <v>0</v>
      </c>
      <c r="R11" s="243">
        <v>0</v>
      </c>
      <c r="S11" s="243">
        <v>0</v>
      </c>
      <c r="T11" s="243">
        <v>0</v>
      </c>
      <c r="U11" s="263">
        <f t="shared" ref="U11:U49" si="0">SUM(I11:T11)</f>
        <v>223.83999999999997</v>
      </c>
      <c r="W11" s="264">
        <f>IFERROR(I11/$E11,0)</f>
        <v>0</v>
      </c>
      <c r="X11" s="264">
        <f>IFERROR(J11/$E11,0)</f>
        <v>0.49916247906197653</v>
      </c>
      <c r="Y11" s="264">
        <f>IFERROR(K11/$E11,0)</f>
        <v>5.249581239530988</v>
      </c>
      <c r="Z11" s="264">
        <f t="shared" ref="Z11:AE11" si="1">IFERROR(L11/$F11,0)</f>
        <v>6.7493020658849803</v>
      </c>
      <c r="AA11" s="264">
        <f t="shared" si="1"/>
        <v>0</v>
      </c>
      <c r="AB11" s="264">
        <f t="shared" si="1"/>
        <v>0</v>
      </c>
      <c r="AC11" s="264">
        <f t="shared" si="1"/>
        <v>0</v>
      </c>
      <c r="AD11" s="264">
        <f t="shared" si="1"/>
        <v>0</v>
      </c>
      <c r="AE11" s="264">
        <f t="shared" si="1"/>
        <v>0</v>
      </c>
      <c r="AF11" s="264">
        <f>IFERROR(R11/$G11,0)</f>
        <v>0</v>
      </c>
      <c r="AG11" s="264">
        <f>IFERROR(S11/$G11,0)</f>
        <v>0</v>
      </c>
      <c r="AH11" s="264">
        <f>IFERROR(T11/$G11,0)</f>
        <v>0</v>
      </c>
      <c r="AI11" s="265">
        <f>+IFERROR(AVERAGE(W11:AH11),0)</f>
        <v>1.0415038153731622</v>
      </c>
      <c r="AJ11" s="266">
        <f>SUM(W11:AH11)</f>
        <v>12.498045784477945</v>
      </c>
      <c r="AL11" s="241">
        <v>1</v>
      </c>
      <c r="AM11" s="240">
        <f t="shared" ref="AM11:AM47" si="2">+$AI11*AL11</f>
        <v>1.0415038153731622</v>
      </c>
      <c r="AN11" s="241">
        <v>0</v>
      </c>
      <c r="AO11" s="240">
        <f t="shared" ref="AO11:AO47" si="3">+$AI11*AN11</f>
        <v>0</v>
      </c>
      <c r="AP11" s="241">
        <v>0</v>
      </c>
      <c r="AQ11" s="240">
        <f t="shared" ref="AQ11:AQ50" si="4">+$AI11*AP11</f>
        <v>0</v>
      </c>
    </row>
    <row r="12" spans="2:43" s="253" customFormat="1" ht="12" customHeight="1" x14ac:dyDescent="0.2">
      <c r="B12" s="241" t="str">
        <f>"ridge"&amp;"residential"&amp;C12</f>
        <v>ridgeresidentialRRA20W</v>
      </c>
      <c r="C12" s="232" t="s">
        <v>1193</v>
      </c>
      <c r="D12" s="232" t="s">
        <v>1194</v>
      </c>
      <c r="E12" s="238">
        <v>14.84</v>
      </c>
      <c r="F12" s="238">
        <v>14.84</v>
      </c>
      <c r="G12" s="238">
        <v>15.94</v>
      </c>
      <c r="H12" s="261"/>
      <c r="I12" s="243">
        <v>897.82</v>
      </c>
      <c r="J12" s="243">
        <v>931.21</v>
      </c>
      <c r="K12" s="243">
        <v>949.76</v>
      </c>
      <c r="L12" s="243">
        <v>920.08</v>
      </c>
      <c r="M12" s="243">
        <v>894.11</v>
      </c>
      <c r="N12" s="243">
        <v>905.24</v>
      </c>
      <c r="O12" s="243">
        <v>890.4</v>
      </c>
      <c r="P12" s="243">
        <v>897.82</v>
      </c>
      <c r="Q12" s="243">
        <v>905.24</v>
      </c>
      <c r="R12" s="243">
        <v>963.55</v>
      </c>
      <c r="S12" s="243">
        <v>980.31</v>
      </c>
      <c r="T12" s="243">
        <v>1004.23</v>
      </c>
      <c r="U12" s="263">
        <f t="shared" si="0"/>
        <v>11139.769999999997</v>
      </c>
      <c r="W12" s="264">
        <f t="shared" ref="W12:W49" si="5">IFERROR(I12/$E12,0)</f>
        <v>60.500000000000007</v>
      </c>
      <c r="X12" s="264">
        <f t="shared" ref="X12:X49" si="6">IFERROR(J12/$E12,0)</f>
        <v>62.75</v>
      </c>
      <c r="Y12" s="264">
        <f t="shared" ref="Y12:Y49" si="7">IFERROR(K12/$E12,0)</f>
        <v>64</v>
      </c>
      <c r="Z12" s="264">
        <f t="shared" ref="Z12:Z49" si="8">IFERROR(L12/$F12,0)</f>
        <v>62</v>
      </c>
      <c r="AA12" s="264">
        <f t="shared" ref="AA12:AA49" si="9">IFERROR(M12/$F12,0)</f>
        <v>60.25</v>
      </c>
      <c r="AB12" s="264">
        <f t="shared" ref="AB12:AB49" si="10">IFERROR(N12/$F12,0)</f>
        <v>61</v>
      </c>
      <c r="AC12" s="264">
        <f t="shared" ref="AC12:AC49" si="11">IFERROR(O12/$F12,0)</f>
        <v>60</v>
      </c>
      <c r="AD12" s="264">
        <f t="shared" ref="AD12:AD49" si="12">IFERROR(P12/$F12,0)</f>
        <v>60.500000000000007</v>
      </c>
      <c r="AE12" s="264">
        <f t="shared" ref="AE12:AE49" si="13">IFERROR(Q12/$F12,0)</f>
        <v>61</v>
      </c>
      <c r="AF12" s="264">
        <f t="shared" ref="AF12:AF49" si="14">IFERROR(R12/$G12,0)</f>
        <v>60.448557089084062</v>
      </c>
      <c r="AG12" s="264">
        <f t="shared" ref="AG12:AG49" si="15">IFERROR(S12/$G12,0)</f>
        <v>61.5</v>
      </c>
      <c r="AH12" s="264">
        <f t="shared" ref="AH12:AH49" si="16">IFERROR(T12/$G12,0)</f>
        <v>63.000627352572145</v>
      </c>
      <c r="AI12" s="265">
        <f t="shared" ref="AI12:AI49" si="17">+IFERROR(AVERAGE(W12:AH12),0)</f>
        <v>61.412432036804681</v>
      </c>
      <c r="AJ12" s="266">
        <f t="shared" ref="AJ12:AJ49" si="18">SUM(W12:AH12)</f>
        <v>736.94918444165614</v>
      </c>
      <c r="AL12" s="241">
        <v>1</v>
      </c>
      <c r="AM12" s="240">
        <f t="shared" si="2"/>
        <v>61.412432036804681</v>
      </c>
      <c r="AN12" s="241">
        <v>0</v>
      </c>
      <c r="AO12" s="240">
        <f t="shared" si="3"/>
        <v>0</v>
      </c>
      <c r="AP12" s="241">
        <v>0</v>
      </c>
      <c r="AQ12" s="240">
        <f t="shared" si="4"/>
        <v>0</v>
      </c>
    </row>
    <row r="13" spans="2:43" s="253" customFormat="1" ht="12" customHeight="1" x14ac:dyDescent="0.2">
      <c r="B13" s="241" t="str">
        <f t="shared" ref="B13:B19" si="19">"ridge"&amp;"residential"&amp;C13</f>
        <v>ridgeresidentialRRA32EOW</v>
      </c>
      <c r="C13" s="232" t="s">
        <v>1195</v>
      </c>
      <c r="D13" s="232" t="s">
        <v>1196</v>
      </c>
      <c r="E13" s="238">
        <v>14.79</v>
      </c>
      <c r="F13" s="238">
        <v>14.79</v>
      </c>
      <c r="G13" s="238">
        <v>15.88</v>
      </c>
      <c r="H13" s="261"/>
      <c r="I13" s="243">
        <v>3098.48</v>
      </c>
      <c r="J13" s="243">
        <v>3098.49</v>
      </c>
      <c r="K13" s="243">
        <v>2906.23</v>
      </c>
      <c r="L13" s="243">
        <v>3102.19</v>
      </c>
      <c r="M13" s="243">
        <v>3135.46</v>
      </c>
      <c r="N13" s="243">
        <v>3098.5099999999998</v>
      </c>
      <c r="O13" s="243">
        <v>3061.55</v>
      </c>
      <c r="P13" s="243">
        <v>3035.66</v>
      </c>
      <c r="Q13" s="243">
        <v>3057.86</v>
      </c>
      <c r="R13" s="243">
        <v>3223.65</v>
      </c>
      <c r="S13" s="243">
        <v>3208.85</v>
      </c>
      <c r="T13" s="243">
        <v>3263.34</v>
      </c>
      <c r="U13" s="263">
        <f t="shared" si="0"/>
        <v>37290.270000000004</v>
      </c>
      <c r="W13" s="264">
        <f t="shared" si="5"/>
        <v>209.49830966869507</v>
      </c>
      <c r="X13" s="264">
        <f t="shared" si="6"/>
        <v>209.49898580121703</v>
      </c>
      <c r="Y13" s="264">
        <f t="shared" si="7"/>
        <v>196.49966193373902</v>
      </c>
      <c r="Z13" s="264">
        <f t="shared" si="8"/>
        <v>209.74915483434754</v>
      </c>
      <c r="AA13" s="264">
        <f t="shared" si="9"/>
        <v>211.99864773495608</v>
      </c>
      <c r="AB13" s="264">
        <f t="shared" si="10"/>
        <v>209.50033806626098</v>
      </c>
      <c r="AC13" s="264">
        <f t="shared" si="11"/>
        <v>207.00135226504398</v>
      </c>
      <c r="AD13" s="264">
        <f t="shared" si="12"/>
        <v>205.25084516565246</v>
      </c>
      <c r="AE13" s="264">
        <f t="shared" si="13"/>
        <v>206.75185936443546</v>
      </c>
      <c r="AF13" s="264">
        <f t="shared" si="14"/>
        <v>203.0006297229219</v>
      </c>
      <c r="AG13" s="264">
        <f t="shared" si="15"/>
        <v>202.06863979848865</v>
      </c>
      <c r="AH13" s="264">
        <f t="shared" si="16"/>
        <v>205.5</v>
      </c>
      <c r="AI13" s="265">
        <f t="shared" si="17"/>
        <v>206.35986869631321</v>
      </c>
      <c r="AJ13" s="266">
        <f t="shared" si="18"/>
        <v>2476.3184243557585</v>
      </c>
      <c r="AL13" s="241">
        <v>1</v>
      </c>
      <c r="AM13" s="240">
        <f t="shared" si="2"/>
        <v>206.35986869631321</v>
      </c>
      <c r="AN13" s="241">
        <v>0</v>
      </c>
      <c r="AO13" s="240">
        <f t="shared" si="3"/>
        <v>0</v>
      </c>
      <c r="AP13" s="241">
        <v>0</v>
      </c>
      <c r="AQ13" s="240">
        <f t="shared" si="4"/>
        <v>0</v>
      </c>
    </row>
    <row r="14" spans="2:43" s="253" customFormat="1" ht="12" customHeight="1" x14ac:dyDescent="0.2">
      <c r="B14" s="241" t="str">
        <f>"ridge"&amp;"residential"&amp;C14</f>
        <v>ridgeresidentialRRA32MO</v>
      </c>
      <c r="C14" s="232" t="s">
        <v>1197</v>
      </c>
      <c r="D14" s="232" t="s">
        <v>1198</v>
      </c>
      <c r="E14" s="238">
        <v>9.11</v>
      </c>
      <c r="F14" s="238">
        <v>9.11</v>
      </c>
      <c r="G14" s="238">
        <v>9.7799999999999994</v>
      </c>
      <c r="H14" s="261"/>
      <c r="I14" s="243">
        <v>209.53</v>
      </c>
      <c r="J14" s="243">
        <v>218.64</v>
      </c>
      <c r="K14" s="243">
        <v>218.64</v>
      </c>
      <c r="L14" s="243">
        <v>218.64</v>
      </c>
      <c r="M14" s="243">
        <v>218.64</v>
      </c>
      <c r="N14" s="243">
        <v>209.53</v>
      </c>
      <c r="O14" s="243">
        <v>227.75</v>
      </c>
      <c r="P14" s="243">
        <v>227.75</v>
      </c>
      <c r="Q14" s="243">
        <v>227.75</v>
      </c>
      <c r="R14" s="243">
        <v>234.72</v>
      </c>
      <c r="S14" s="243">
        <v>253.61</v>
      </c>
      <c r="T14" s="243">
        <v>224.94</v>
      </c>
      <c r="U14" s="263">
        <f>SUM(I14:T14)</f>
        <v>2690.14</v>
      </c>
      <c r="W14" s="264">
        <f t="shared" si="5"/>
        <v>23</v>
      </c>
      <c r="X14" s="264">
        <f t="shared" si="6"/>
        <v>24</v>
      </c>
      <c r="Y14" s="264">
        <f t="shared" si="7"/>
        <v>24</v>
      </c>
      <c r="Z14" s="264">
        <f t="shared" si="8"/>
        <v>24</v>
      </c>
      <c r="AA14" s="264">
        <f t="shared" si="9"/>
        <v>24</v>
      </c>
      <c r="AB14" s="264">
        <f t="shared" si="10"/>
        <v>23</v>
      </c>
      <c r="AC14" s="264">
        <f t="shared" si="11"/>
        <v>25</v>
      </c>
      <c r="AD14" s="264">
        <f t="shared" si="12"/>
        <v>25</v>
      </c>
      <c r="AE14" s="264">
        <f t="shared" si="13"/>
        <v>25</v>
      </c>
      <c r="AF14" s="264">
        <f t="shared" si="14"/>
        <v>24</v>
      </c>
      <c r="AG14" s="264">
        <f t="shared" si="15"/>
        <v>25.931492842535789</v>
      </c>
      <c r="AH14" s="264">
        <f t="shared" si="16"/>
        <v>23</v>
      </c>
      <c r="AI14" s="265">
        <f>+IFERROR(AVERAGE(W14:AH14),0)</f>
        <v>24.160957736877986</v>
      </c>
      <c r="AJ14" s="266">
        <f>SUM(W14:AH14)</f>
        <v>289.93149284253582</v>
      </c>
      <c r="AL14" s="241">
        <v>1</v>
      </c>
      <c r="AM14" s="240">
        <f t="shared" si="2"/>
        <v>24.160957736877986</v>
      </c>
      <c r="AN14" s="241">
        <v>0</v>
      </c>
      <c r="AO14" s="240">
        <f t="shared" si="3"/>
        <v>0</v>
      </c>
      <c r="AP14" s="241">
        <v>0</v>
      </c>
      <c r="AQ14" s="240">
        <f>+$AI14*AP14</f>
        <v>0</v>
      </c>
    </row>
    <row r="15" spans="2:43" s="253" customFormat="1" ht="12" customHeight="1" x14ac:dyDescent="0.2">
      <c r="B15" s="241" t="str">
        <f t="shared" si="19"/>
        <v>ridgeresidentialRR32MO</v>
      </c>
      <c r="C15" s="232" t="s">
        <v>675</v>
      </c>
      <c r="D15" s="232" t="s">
        <v>1363</v>
      </c>
      <c r="E15" s="238">
        <v>9.11</v>
      </c>
      <c r="F15" s="238">
        <v>9.11</v>
      </c>
      <c r="G15" s="238">
        <v>9.7799999999999994</v>
      </c>
      <c r="H15" s="261"/>
      <c r="I15" s="243">
        <v>0</v>
      </c>
      <c r="J15" s="243">
        <v>0</v>
      </c>
      <c r="K15" s="243">
        <v>0</v>
      </c>
      <c r="L15" s="243">
        <v>0</v>
      </c>
      <c r="M15" s="243">
        <v>0</v>
      </c>
      <c r="N15" s="243">
        <v>0</v>
      </c>
      <c r="O15" s="243">
        <v>0</v>
      </c>
      <c r="P15" s="243">
        <v>0</v>
      </c>
      <c r="Q15" s="243">
        <v>0</v>
      </c>
      <c r="R15" s="243">
        <v>0</v>
      </c>
      <c r="S15" s="243">
        <v>9.7799999999999994</v>
      </c>
      <c r="T15" s="243">
        <v>9.7799999999999994</v>
      </c>
      <c r="U15" s="263">
        <f t="shared" si="0"/>
        <v>19.559999999999999</v>
      </c>
      <c r="W15" s="264">
        <f t="shared" si="5"/>
        <v>0</v>
      </c>
      <c r="X15" s="264">
        <f t="shared" si="6"/>
        <v>0</v>
      </c>
      <c r="Y15" s="264">
        <f t="shared" si="7"/>
        <v>0</v>
      </c>
      <c r="Z15" s="264">
        <f t="shared" si="8"/>
        <v>0</v>
      </c>
      <c r="AA15" s="264">
        <f t="shared" si="9"/>
        <v>0</v>
      </c>
      <c r="AB15" s="264">
        <f t="shared" si="10"/>
        <v>0</v>
      </c>
      <c r="AC15" s="264">
        <f t="shared" si="11"/>
        <v>0</v>
      </c>
      <c r="AD15" s="264">
        <f t="shared" si="12"/>
        <v>0</v>
      </c>
      <c r="AE15" s="264">
        <f t="shared" si="13"/>
        <v>0</v>
      </c>
      <c r="AF15" s="264">
        <f t="shared" si="14"/>
        <v>0</v>
      </c>
      <c r="AG15" s="264">
        <f t="shared" si="15"/>
        <v>1</v>
      </c>
      <c r="AH15" s="264">
        <f t="shared" si="16"/>
        <v>1</v>
      </c>
      <c r="AI15" s="265">
        <f t="shared" si="17"/>
        <v>0.16666666666666666</v>
      </c>
      <c r="AJ15" s="266">
        <f t="shared" si="18"/>
        <v>2</v>
      </c>
      <c r="AL15" s="241">
        <v>1</v>
      </c>
      <c r="AM15" s="240">
        <f t="shared" si="2"/>
        <v>0.16666666666666666</v>
      </c>
      <c r="AN15" s="241">
        <v>0</v>
      </c>
      <c r="AO15" s="240">
        <f t="shared" si="3"/>
        <v>0</v>
      </c>
      <c r="AP15" s="241">
        <v>0</v>
      </c>
      <c r="AQ15" s="240">
        <f t="shared" si="4"/>
        <v>0</v>
      </c>
    </row>
    <row r="16" spans="2:43" s="253" customFormat="1" ht="12" customHeight="1" x14ac:dyDescent="0.2">
      <c r="B16" s="241" t="str">
        <f t="shared" si="19"/>
        <v>ridgeresidentialRRA32W</v>
      </c>
      <c r="C16" s="232" t="s">
        <v>1199</v>
      </c>
      <c r="D16" s="232" t="s">
        <v>1200</v>
      </c>
      <c r="E16" s="238">
        <v>17.91</v>
      </c>
      <c r="F16" s="238">
        <v>17.91</v>
      </c>
      <c r="G16" s="238">
        <v>19.25</v>
      </c>
      <c r="H16" s="261"/>
      <c r="I16" s="243">
        <v>40919.589999999997</v>
      </c>
      <c r="J16" s="243">
        <v>41165.920000000006</v>
      </c>
      <c r="K16" s="243">
        <v>41364.15</v>
      </c>
      <c r="L16" s="243">
        <v>41407.61</v>
      </c>
      <c r="M16" s="243">
        <v>41622.65</v>
      </c>
      <c r="N16" s="243">
        <v>41660.870000000003</v>
      </c>
      <c r="O16" s="243">
        <v>41810.94</v>
      </c>
      <c r="P16" s="243">
        <v>41828.890000000007</v>
      </c>
      <c r="Q16" s="243">
        <v>41631.910000000003</v>
      </c>
      <c r="R16" s="243">
        <v>44646.689999999995</v>
      </c>
      <c r="S16" s="243">
        <v>44276.060000000005</v>
      </c>
      <c r="T16" s="243">
        <v>44385.79</v>
      </c>
      <c r="U16" s="263">
        <f t="shared" si="0"/>
        <v>506721.07</v>
      </c>
      <c r="W16" s="264">
        <f t="shared" si="5"/>
        <v>2284.7342266890005</v>
      </c>
      <c r="X16" s="264">
        <f t="shared" si="6"/>
        <v>2298.4879955332221</v>
      </c>
      <c r="Y16" s="264">
        <f t="shared" si="7"/>
        <v>2309.5561139028478</v>
      </c>
      <c r="Z16" s="264">
        <f t="shared" si="8"/>
        <v>2311.9826912339477</v>
      </c>
      <c r="AA16" s="264">
        <f t="shared" si="9"/>
        <v>2323.9893914014519</v>
      </c>
      <c r="AB16" s="264">
        <f t="shared" si="10"/>
        <v>2326.1233947515357</v>
      </c>
      <c r="AC16" s="264">
        <f t="shared" si="11"/>
        <v>2334.502512562814</v>
      </c>
      <c r="AD16" s="264">
        <f t="shared" si="12"/>
        <v>2335.5047459519824</v>
      </c>
      <c r="AE16" s="264">
        <f t="shared" si="13"/>
        <v>2324.5064209938582</v>
      </c>
      <c r="AF16" s="264">
        <f t="shared" si="14"/>
        <v>2319.3085714285712</v>
      </c>
      <c r="AG16" s="264">
        <f t="shared" si="15"/>
        <v>2300.0550649350653</v>
      </c>
      <c r="AH16" s="264">
        <f t="shared" si="16"/>
        <v>2305.7553246753246</v>
      </c>
      <c r="AI16" s="265">
        <f t="shared" si="17"/>
        <v>2314.5422045049681</v>
      </c>
      <c r="AJ16" s="266">
        <f t="shared" si="18"/>
        <v>27774.506454059618</v>
      </c>
      <c r="AL16" s="241">
        <v>1</v>
      </c>
      <c r="AM16" s="240">
        <f t="shared" si="2"/>
        <v>2314.5422045049681</v>
      </c>
      <c r="AN16" s="241">
        <v>0</v>
      </c>
      <c r="AO16" s="240">
        <f t="shared" si="3"/>
        <v>0</v>
      </c>
      <c r="AP16" s="241">
        <v>0</v>
      </c>
      <c r="AQ16" s="240">
        <f t="shared" si="4"/>
        <v>0</v>
      </c>
    </row>
    <row r="17" spans="2:43" s="253" customFormat="1" ht="12" customHeight="1" x14ac:dyDescent="0.2">
      <c r="B17" s="241" t="str">
        <f t="shared" si="19"/>
        <v>ridgeresidentialRRA32WHEL</v>
      </c>
      <c r="C17" s="232" t="s">
        <v>1301</v>
      </c>
      <c r="D17" s="232" t="s">
        <v>1302</v>
      </c>
      <c r="E17" s="238">
        <v>13.18</v>
      </c>
      <c r="F17" s="238">
        <v>13.18</v>
      </c>
      <c r="G17" s="238">
        <v>14.16</v>
      </c>
      <c r="H17" s="261"/>
      <c r="I17" s="243">
        <v>0</v>
      </c>
      <c r="J17" s="243">
        <v>0</v>
      </c>
      <c r="K17" s="243">
        <v>0</v>
      </c>
      <c r="L17" s="243">
        <v>0</v>
      </c>
      <c r="M17" s="243">
        <v>0</v>
      </c>
      <c r="N17" s="243">
        <v>0</v>
      </c>
      <c r="O17" s="243">
        <v>9.89</v>
      </c>
      <c r="P17" s="243">
        <v>13.18</v>
      </c>
      <c r="Q17" s="243">
        <v>13.18</v>
      </c>
      <c r="R17" s="243">
        <v>14.16</v>
      </c>
      <c r="S17" s="243">
        <v>14.16</v>
      </c>
      <c r="T17" s="243">
        <v>14.16</v>
      </c>
      <c r="U17" s="263">
        <f t="shared" si="0"/>
        <v>78.72999999999999</v>
      </c>
      <c r="W17" s="264">
        <f t="shared" si="5"/>
        <v>0</v>
      </c>
      <c r="X17" s="264">
        <f t="shared" si="6"/>
        <v>0</v>
      </c>
      <c r="Y17" s="264">
        <f t="shared" si="7"/>
        <v>0</v>
      </c>
      <c r="Z17" s="264">
        <f t="shared" si="8"/>
        <v>0</v>
      </c>
      <c r="AA17" s="264">
        <f t="shared" si="9"/>
        <v>0</v>
      </c>
      <c r="AB17" s="264">
        <f t="shared" si="10"/>
        <v>0</v>
      </c>
      <c r="AC17" s="264">
        <f t="shared" si="11"/>
        <v>0.75037936267071326</v>
      </c>
      <c r="AD17" s="264">
        <f t="shared" si="12"/>
        <v>1</v>
      </c>
      <c r="AE17" s="264">
        <f t="shared" si="13"/>
        <v>1</v>
      </c>
      <c r="AF17" s="264">
        <f t="shared" si="14"/>
        <v>1</v>
      </c>
      <c r="AG17" s="264">
        <f t="shared" si="15"/>
        <v>1</v>
      </c>
      <c r="AH17" s="264">
        <f t="shared" si="16"/>
        <v>1</v>
      </c>
      <c r="AI17" s="265">
        <f t="shared" si="17"/>
        <v>0.47919828022255945</v>
      </c>
      <c r="AJ17" s="266">
        <f t="shared" si="18"/>
        <v>5.7503793626707136</v>
      </c>
      <c r="AL17" s="241">
        <v>1</v>
      </c>
      <c r="AM17" s="240">
        <f t="shared" si="2"/>
        <v>0.47919828022255945</v>
      </c>
      <c r="AN17" s="241">
        <v>0</v>
      </c>
      <c r="AO17" s="240">
        <f t="shared" si="3"/>
        <v>0</v>
      </c>
      <c r="AP17" s="241">
        <v>0</v>
      </c>
      <c r="AQ17" s="240">
        <f t="shared" si="4"/>
        <v>0</v>
      </c>
    </row>
    <row r="18" spans="2:43" s="253" customFormat="1" ht="12" customHeight="1" x14ac:dyDescent="0.2">
      <c r="B18" s="241" t="str">
        <f t="shared" si="19"/>
        <v>ridgeresidentialRRA64W</v>
      </c>
      <c r="C18" s="232" t="s">
        <v>1201</v>
      </c>
      <c r="D18" s="232" t="s">
        <v>1202</v>
      </c>
      <c r="E18" s="238">
        <v>26.8</v>
      </c>
      <c r="F18" s="238">
        <v>26.8</v>
      </c>
      <c r="G18" s="238">
        <v>28.78</v>
      </c>
      <c r="H18" s="261"/>
      <c r="I18" s="243">
        <v>45489.65</v>
      </c>
      <c r="J18" s="243">
        <v>46357.3</v>
      </c>
      <c r="K18" s="243">
        <v>46518.09</v>
      </c>
      <c r="L18" s="243">
        <v>47030.65</v>
      </c>
      <c r="M18" s="243">
        <v>47492.95</v>
      </c>
      <c r="N18" s="243">
        <v>47643.7</v>
      </c>
      <c r="O18" s="243">
        <v>48186.400000000001</v>
      </c>
      <c r="P18" s="243">
        <v>48283.53</v>
      </c>
      <c r="Q18" s="243">
        <v>48812.85</v>
      </c>
      <c r="R18" s="243">
        <v>52655.780000000006</v>
      </c>
      <c r="S18" s="243">
        <v>53336.670000000006</v>
      </c>
      <c r="T18" s="243">
        <v>53761.23</v>
      </c>
      <c r="U18" s="263">
        <f t="shared" si="0"/>
        <v>585568.80000000005</v>
      </c>
      <c r="W18" s="264">
        <f t="shared" si="5"/>
        <v>1697.375</v>
      </c>
      <c r="X18" s="264">
        <f t="shared" si="6"/>
        <v>1729.75</v>
      </c>
      <c r="Y18" s="264">
        <f t="shared" si="7"/>
        <v>1735.7496268656714</v>
      </c>
      <c r="Z18" s="264">
        <f t="shared" si="8"/>
        <v>1754.875</v>
      </c>
      <c r="AA18" s="264">
        <f t="shared" si="9"/>
        <v>1772.1249999999998</v>
      </c>
      <c r="AB18" s="264">
        <f t="shared" si="10"/>
        <v>1777.7499999999998</v>
      </c>
      <c r="AC18" s="264">
        <f t="shared" si="11"/>
        <v>1798</v>
      </c>
      <c r="AD18" s="264">
        <f t="shared" si="12"/>
        <v>1801.6242537313433</v>
      </c>
      <c r="AE18" s="264">
        <f t="shared" si="13"/>
        <v>1821.375</v>
      </c>
      <c r="AF18" s="264">
        <f t="shared" si="14"/>
        <v>1829.5962473940237</v>
      </c>
      <c r="AG18" s="264">
        <f t="shared" si="15"/>
        <v>1853.2546907574706</v>
      </c>
      <c r="AH18" s="264">
        <f t="shared" si="16"/>
        <v>1868.0066018068103</v>
      </c>
      <c r="AI18" s="265">
        <f t="shared" si="17"/>
        <v>1786.6234517129433</v>
      </c>
      <c r="AJ18" s="266">
        <f t="shared" si="18"/>
        <v>21439.481420555319</v>
      </c>
      <c r="AL18" s="241">
        <v>1</v>
      </c>
      <c r="AM18" s="240">
        <f t="shared" si="2"/>
        <v>1786.6234517129433</v>
      </c>
      <c r="AN18" s="241">
        <v>0</v>
      </c>
      <c r="AO18" s="240">
        <f t="shared" si="3"/>
        <v>0</v>
      </c>
      <c r="AP18" s="241">
        <v>0</v>
      </c>
      <c r="AQ18" s="240">
        <f t="shared" si="4"/>
        <v>0</v>
      </c>
    </row>
    <row r="19" spans="2:43" s="253" customFormat="1" ht="12" customHeight="1" x14ac:dyDescent="0.2">
      <c r="B19" s="241" t="str">
        <f t="shared" si="19"/>
        <v>ridgeresidentialRRA64W2</v>
      </c>
      <c r="C19" s="232" t="s">
        <v>1203</v>
      </c>
      <c r="D19" s="232" t="s">
        <v>1204</v>
      </c>
      <c r="E19" s="238">
        <v>44.53</v>
      </c>
      <c r="F19" s="238">
        <v>44.53</v>
      </c>
      <c r="G19" s="238">
        <v>47.83</v>
      </c>
      <c r="H19" s="261"/>
      <c r="I19" s="243">
        <v>178.12</v>
      </c>
      <c r="J19" s="243">
        <v>178.12</v>
      </c>
      <c r="K19" s="243">
        <v>189.25</v>
      </c>
      <c r="L19" s="243">
        <v>133.59</v>
      </c>
      <c r="M19" s="243">
        <v>178.12</v>
      </c>
      <c r="N19" s="243">
        <v>178.12</v>
      </c>
      <c r="O19" s="243">
        <v>178.12</v>
      </c>
      <c r="P19" s="243">
        <v>178.12</v>
      </c>
      <c r="Q19" s="243">
        <v>178.12</v>
      </c>
      <c r="R19" s="243">
        <v>191.32</v>
      </c>
      <c r="S19" s="243">
        <v>191.32</v>
      </c>
      <c r="T19" s="243">
        <v>191.32</v>
      </c>
      <c r="U19" s="263">
        <f t="shared" si="0"/>
        <v>2143.64</v>
      </c>
      <c r="W19" s="264">
        <f t="shared" si="5"/>
        <v>4</v>
      </c>
      <c r="X19" s="264">
        <f t="shared" si="6"/>
        <v>4</v>
      </c>
      <c r="Y19" s="264">
        <f t="shared" si="7"/>
        <v>4.249943858073209</v>
      </c>
      <c r="Z19" s="264">
        <f t="shared" si="8"/>
        <v>3</v>
      </c>
      <c r="AA19" s="264">
        <f t="shared" si="9"/>
        <v>4</v>
      </c>
      <c r="AB19" s="264">
        <f t="shared" si="10"/>
        <v>4</v>
      </c>
      <c r="AC19" s="264">
        <f t="shared" si="11"/>
        <v>4</v>
      </c>
      <c r="AD19" s="264">
        <f t="shared" si="12"/>
        <v>4</v>
      </c>
      <c r="AE19" s="264">
        <f t="shared" si="13"/>
        <v>4</v>
      </c>
      <c r="AF19" s="264">
        <f t="shared" si="14"/>
        <v>4</v>
      </c>
      <c r="AG19" s="264">
        <f t="shared" si="15"/>
        <v>4</v>
      </c>
      <c r="AH19" s="264">
        <f t="shared" si="16"/>
        <v>4</v>
      </c>
      <c r="AI19" s="265">
        <f t="shared" si="17"/>
        <v>3.9374953215061006</v>
      </c>
      <c r="AJ19" s="266">
        <f t="shared" si="18"/>
        <v>47.249943858073209</v>
      </c>
      <c r="AL19" s="241">
        <v>1</v>
      </c>
      <c r="AM19" s="240">
        <f t="shared" si="2"/>
        <v>3.9374953215061006</v>
      </c>
      <c r="AN19" s="241">
        <v>0</v>
      </c>
      <c r="AO19" s="240">
        <f t="shared" si="3"/>
        <v>0</v>
      </c>
      <c r="AP19" s="241">
        <v>0</v>
      </c>
      <c r="AQ19" s="240">
        <f t="shared" si="4"/>
        <v>0</v>
      </c>
    </row>
    <row r="20" spans="2:43" s="253" customFormat="1" ht="12" customHeight="1" x14ac:dyDescent="0.2">
      <c r="B20" s="241" t="str">
        <f t="shared" ref="B20:B26" si="20">"ridge"&amp;"residential"&amp;C20</f>
        <v>ridgeresidentialRRA64WHEL</v>
      </c>
      <c r="C20" s="232" t="s">
        <v>1205</v>
      </c>
      <c r="D20" s="232" t="s">
        <v>1206</v>
      </c>
      <c r="E20" s="238">
        <v>19.850000000000001</v>
      </c>
      <c r="F20" s="238">
        <v>19.850000000000001</v>
      </c>
      <c r="G20" s="238">
        <v>21.32</v>
      </c>
      <c r="H20" s="261"/>
      <c r="I20" s="243">
        <v>39.700000000000003</v>
      </c>
      <c r="J20" s="243">
        <v>39.700000000000003</v>
      </c>
      <c r="K20" s="243">
        <v>39.700000000000003</v>
      </c>
      <c r="L20" s="243">
        <v>39.700000000000003</v>
      </c>
      <c r="M20" s="243">
        <v>39.700000000000003</v>
      </c>
      <c r="N20" s="243">
        <v>39.700000000000003</v>
      </c>
      <c r="O20" s="243">
        <v>39.700000000000003</v>
      </c>
      <c r="P20" s="243">
        <v>39.700000000000003</v>
      </c>
      <c r="Q20" s="243">
        <v>39.700000000000003</v>
      </c>
      <c r="R20" s="243">
        <v>42.64</v>
      </c>
      <c r="S20" s="243">
        <v>42.64</v>
      </c>
      <c r="T20" s="243">
        <v>42.64</v>
      </c>
      <c r="U20" s="263">
        <f t="shared" si="0"/>
        <v>485.21999999999991</v>
      </c>
      <c r="W20" s="264">
        <f t="shared" si="5"/>
        <v>2</v>
      </c>
      <c r="X20" s="264">
        <f t="shared" si="6"/>
        <v>2</v>
      </c>
      <c r="Y20" s="264">
        <f t="shared" si="7"/>
        <v>2</v>
      </c>
      <c r="Z20" s="264">
        <f t="shared" si="8"/>
        <v>2</v>
      </c>
      <c r="AA20" s="264">
        <f t="shared" si="9"/>
        <v>2</v>
      </c>
      <c r="AB20" s="264">
        <f t="shared" si="10"/>
        <v>2</v>
      </c>
      <c r="AC20" s="264">
        <f t="shared" si="11"/>
        <v>2</v>
      </c>
      <c r="AD20" s="264">
        <f t="shared" si="12"/>
        <v>2</v>
      </c>
      <c r="AE20" s="264">
        <f t="shared" si="13"/>
        <v>2</v>
      </c>
      <c r="AF20" s="264">
        <f t="shared" si="14"/>
        <v>2</v>
      </c>
      <c r="AG20" s="264">
        <f t="shared" si="15"/>
        <v>2</v>
      </c>
      <c r="AH20" s="264">
        <f t="shared" si="16"/>
        <v>2</v>
      </c>
      <c r="AI20" s="265">
        <f t="shared" si="17"/>
        <v>2</v>
      </c>
      <c r="AJ20" s="266">
        <f t="shared" si="18"/>
        <v>24</v>
      </c>
      <c r="AL20" s="241">
        <v>1</v>
      </c>
      <c r="AM20" s="240">
        <f t="shared" si="2"/>
        <v>2</v>
      </c>
      <c r="AN20" s="241">
        <v>0</v>
      </c>
      <c r="AO20" s="240">
        <f t="shared" si="3"/>
        <v>0</v>
      </c>
      <c r="AP20" s="241">
        <v>0</v>
      </c>
      <c r="AQ20" s="240">
        <f t="shared" si="4"/>
        <v>0</v>
      </c>
    </row>
    <row r="21" spans="2:43" s="253" customFormat="1" ht="12" customHeight="1" x14ac:dyDescent="0.2">
      <c r="B21" s="241" t="str">
        <f t="shared" si="20"/>
        <v>ridgeresidentialVRA32W</v>
      </c>
      <c r="C21" s="232" t="s">
        <v>735</v>
      </c>
      <c r="D21" s="232" t="s">
        <v>760</v>
      </c>
      <c r="E21" s="238">
        <v>25.04</v>
      </c>
      <c r="F21" s="238">
        <v>25.04</v>
      </c>
      <c r="G21" s="238">
        <v>25.04</v>
      </c>
      <c r="H21" s="261"/>
      <c r="I21" s="243">
        <v>0</v>
      </c>
      <c r="J21" s="243">
        <v>0</v>
      </c>
      <c r="K21" s="243">
        <v>0</v>
      </c>
      <c r="L21" s="243">
        <v>0</v>
      </c>
      <c r="M21" s="243">
        <v>0</v>
      </c>
      <c r="N21" s="243">
        <v>9.99</v>
      </c>
      <c r="O21" s="243">
        <v>-9.99</v>
      </c>
      <c r="P21" s="243">
        <v>-4.4800000000000004</v>
      </c>
      <c r="Q21" s="243">
        <v>0</v>
      </c>
      <c r="R21" s="243">
        <v>9.99</v>
      </c>
      <c r="S21" s="243">
        <v>-9.99</v>
      </c>
      <c r="T21" s="243">
        <v>14.99</v>
      </c>
      <c r="U21" s="263">
        <f>SUM(I21:T21)</f>
        <v>10.51</v>
      </c>
      <c r="W21" s="264">
        <f t="shared" si="5"/>
        <v>0</v>
      </c>
      <c r="X21" s="264">
        <f t="shared" si="6"/>
        <v>0</v>
      </c>
      <c r="Y21" s="264">
        <f t="shared" si="7"/>
        <v>0</v>
      </c>
      <c r="Z21" s="264">
        <f t="shared" si="8"/>
        <v>0</v>
      </c>
      <c r="AA21" s="264">
        <f t="shared" si="9"/>
        <v>0</v>
      </c>
      <c r="AB21" s="264">
        <f t="shared" si="10"/>
        <v>0.39896166134185307</v>
      </c>
      <c r="AC21" s="264">
        <f t="shared" si="11"/>
        <v>-0.39896166134185307</v>
      </c>
      <c r="AD21" s="264">
        <f t="shared" si="12"/>
        <v>-0.17891373801916935</v>
      </c>
      <c r="AE21" s="264">
        <f t="shared" si="13"/>
        <v>0</v>
      </c>
      <c r="AF21" s="264">
        <f t="shared" si="14"/>
        <v>0.39896166134185307</v>
      </c>
      <c r="AG21" s="264">
        <f t="shared" si="15"/>
        <v>-0.39896166134185307</v>
      </c>
      <c r="AH21" s="264">
        <f t="shared" si="16"/>
        <v>0.59864217252396168</v>
      </c>
      <c r="AI21" s="265">
        <f>+IFERROR(AVERAGE(W21:AH21),0)</f>
        <v>3.4977369542066032E-2</v>
      </c>
      <c r="AJ21" s="266">
        <f>SUM(W21:AH21)</f>
        <v>0.41972843450479236</v>
      </c>
      <c r="AL21" s="241">
        <v>1</v>
      </c>
      <c r="AM21" s="240">
        <f t="shared" si="2"/>
        <v>3.4977369542066032E-2</v>
      </c>
      <c r="AN21" s="241">
        <v>0</v>
      </c>
      <c r="AO21" s="240">
        <f t="shared" si="3"/>
        <v>0</v>
      </c>
      <c r="AP21" s="241">
        <v>0</v>
      </c>
      <c r="AQ21" s="240">
        <f>+$AI21*AP21</f>
        <v>0</v>
      </c>
    </row>
    <row r="22" spans="2:43" s="253" customFormat="1" ht="12" customHeight="1" x14ac:dyDescent="0.2">
      <c r="B22" s="241" t="str">
        <f t="shared" si="20"/>
        <v>ridgeresidentialVRA64W</v>
      </c>
      <c r="C22" s="232" t="s">
        <v>742</v>
      </c>
      <c r="D22" s="232" t="s">
        <v>767</v>
      </c>
      <c r="E22" s="238">
        <v>25.04</v>
      </c>
      <c r="F22" s="238">
        <v>25.04</v>
      </c>
      <c r="G22" s="238">
        <v>25.04</v>
      </c>
      <c r="H22" s="261"/>
      <c r="I22" s="243">
        <v>0</v>
      </c>
      <c r="J22" s="243">
        <v>19.98</v>
      </c>
      <c r="K22" s="243">
        <v>-19.98</v>
      </c>
      <c r="L22" s="243">
        <v>19.98</v>
      </c>
      <c r="M22" s="243">
        <v>-19.98</v>
      </c>
      <c r="N22" s="243">
        <v>39.96</v>
      </c>
      <c r="O22" s="243">
        <v>-39.96</v>
      </c>
      <c r="P22" s="243">
        <v>0</v>
      </c>
      <c r="Q22" s="243">
        <v>19.98</v>
      </c>
      <c r="R22" s="243">
        <v>139.86000000000001</v>
      </c>
      <c r="S22" s="243">
        <v>-126.95</v>
      </c>
      <c r="T22" s="243">
        <v>-7.2</v>
      </c>
      <c r="U22" s="263">
        <f t="shared" si="0"/>
        <v>25.69</v>
      </c>
      <c r="W22" s="264">
        <f t="shared" si="5"/>
        <v>0</v>
      </c>
      <c r="X22" s="264">
        <f t="shared" si="6"/>
        <v>0.79792332268370614</v>
      </c>
      <c r="Y22" s="264">
        <f t="shared" si="7"/>
        <v>-0.79792332268370614</v>
      </c>
      <c r="Z22" s="264">
        <f t="shared" si="8"/>
        <v>0.79792332268370614</v>
      </c>
      <c r="AA22" s="264">
        <f t="shared" si="9"/>
        <v>-0.79792332268370614</v>
      </c>
      <c r="AB22" s="264">
        <f t="shared" si="10"/>
        <v>1.5958466453674123</v>
      </c>
      <c r="AC22" s="264">
        <f t="shared" si="11"/>
        <v>-1.5958466453674123</v>
      </c>
      <c r="AD22" s="264">
        <f t="shared" si="12"/>
        <v>0</v>
      </c>
      <c r="AE22" s="264">
        <f t="shared" si="13"/>
        <v>0.79792332268370614</v>
      </c>
      <c r="AF22" s="264">
        <f t="shared" si="14"/>
        <v>5.5854632587859436</v>
      </c>
      <c r="AG22" s="264">
        <f t="shared" si="15"/>
        <v>-5.0698881789137387</v>
      </c>
      <c r="AH22" s="264">
        <f t="shared" si="16"/>
        <v>-0.28753993610223644</v>
      </c>
      <c r="AI22" s="265">
        <f t="shared" si="17"/>
        <v>8.5496538871139574E-2</v>
      </c>
      <c r="AJ22" s="266">
        <f t="shared" si="18"/>
        <v>1.0259584664536749</v>
      </c>
      <c r="AL22" s="241">
        <v>1</v>
      </c>
      <c r="AM22" s="240">
        <f t="shared" si="2"/>
        <v>8.5496538871139574E-2</v>
      </c>
      <c r="AN22" s="241">
        <v>0</v>
      </c>
      <c r="AO22" s="240">
        <f t="shared" si="3"/>
        <v>0</v>
      </c>
      <c r="AP22" s="241">
        <v>0</v>
      </c>
      <c r="AQ22" s="240">
        <f t="shared" si="4"/>
        <v>0</v>
      </c>
    </row>
    <row r="23" spans="2:43" s="253" customFormat="1" ht="12" customHeight="1" x14ac:dyDescent="0.2">
      <c r="B23" s="241" t="str">
        <f t="shared" si="20"/>
        <v>ridgeresidentialVRA96W</v>
      </c>
      <c r="C23" s="232" t="s">
        <v>748</v>
      </c>
      <c r="D23" s="232" t="s">
        <v>773</v>
      </c>
      <c r="E23" s="238">
        <v>25.04</v>
      </c>
      <c r="F23" s="238">
        <v>25.04</v>
      </c>
      <c r="G23" s="238">
        <v>25.04</v>
      </c>
      <c r="H23" s="261"/>
      <c r="I23" s="243">
        <v>0</v>
      </c>
      <c r="J23" s="243">
        <v>0</v>
      </c>
      <c r="K23" s="243">
        <v>0</v>
      </c>
      <c r="L23" s="243">
        <v>0</v>
      </c>
      <c r="M23" s="243">
        <v>0</v>
      </c>
      <c r="N23" s="243">
        <v>0</v>
      </c>
      <c r="O23" s="243">
        <v>0</v>
      </c>
      <c r="P23" s="243">
        <v>0</v>
      </c>
      <c r="Q23" s="243">
        <v>0</v>
      </c>
      <c r="R23" s="243">
        <v>0</v>
      </c>
      <c r="S23" s="243">
        <v>0</v>
      </c>
      <c r="T23" s="243">
        <v>29.97</v>
      </c>
      <c r="U23" s="263">
        <f>SUM(I23:T23)</f>
        <v>29.97</v>
      </c>
      <c r="W23" s="264">
        <f t="shared" si="5"/>
        <v>0</v>
      </c>
      <c r="X23" s="264">
        <f t="shared" si="6"/>
        <v>0</v>
      </c>
      <c r="Y23" s="264">
        <f t="shared" si="7"/>
        <v>0</v>
      </c>
      <c r="Z23" s="264">
        <f t="shared" si="8"/>
        <v>0</v>
      </c>
      <c r="AA23" s="264">
        <f t="shared" si="9"/>
        <v>0</v>
      </c>
      <c r="AB23" s="264">
        <f t="shared" si="10"/>
        <v>0</v>
      </c>
      <c r="AC23" s="264">
        <f t="shared" si="11"/>
        <v>0</v>
      </c>
      <c r="AD23" s="264">
        <f t="shared" si="12"/>
        <v>0</v>
      </c>
      <c r="AE23" s="264">
        <f t="shared" si="13"/>
        <v>0</v>
      </c>
      <c r="AF23" s="264">
        <f t="shared" si="14"/>
        <v>0</v>
      </c>
      <c r="AG23" s="264">
        <f t="shared" si="15"/>
        <v>0</v>
      </c>
      <c r="AH23" s="264">
        <f t="shared" si="16"/>
        <v>1.1968849840255591</v>
      </c>
      <c r="AI23" s="265">
        <f>+IFERROR(AVERAGE(W23:AH23),0)</f>
        <v>9.9740415335463253E-2</v>
      </c>
      <c r="AJ23" s="266">
        <f>SUM(W23:AH23)</f>
        <v>1.1968849840255591</v>
      </c>
      <c r="AL23" s="241">
        <v>1</v>
      </c>
      <c r="AM23" s="240">
        <f t="shared" si="2"/>
        <v>9.9740415335463253E-2</v>
      </c>
      <c r="AN23" s="241">
        <v>0</v>
      </c>
      <c r="AO23" s="240">
        <f t="shared" si="3"/>
        <v>0</v>
      </c>
      <c r="AP23" s="241">
        <v>0</v>
      </c>
      <c r="AQ23" s="240">
        <f>+$AI23*AP23</f>
        <v>0</v>
      </c>
    </row>
    <row r="24" spans="2:43" s="253" customFormat="1" ht="12" customHeight="1" x14ac:dyDescent="0.2">
      <c r="B24" s="241" t="str">
        <f t="shared" si="20"/>
        <v>ridgeresidentialRRA96W</v>
      </c>
      <c r="C24" s="232" t="s">
        <v>1207</v>
      </c>
      <c r="D24" s="232" t="s">
        <v>1208</v>
      </c>
      <c r="E24" s="238">
        <v>35.659999999999997</v>
      </c>
      <c r="F24" s="238">
        <v>35.659999999999997</v>
      </c>
      <c r="G24" s="238">
        <v>38.299999999999997</v>
      </c>
      <c r="H24" s="261"/>
      <c r="I24" s="243">
        <v>16385.73</v>
      </c>
      <c r="J24" s="243">
        <v>16599.670000000002</v>
      </c>
      <c r="K24" s="243">
        <v>17018.68</v>
      </c>
      <c r="L24" s="243">
        <v>17161.3</v>
      </c>
      <c r="M24" s="243">
        <v>17375.91</v>
      </c>
      <c r="N24" s="243">
        <v>17463.84</v>
      </c>
      <c r="O24" s="243">
        <v>17455.620000000003</v>
      </c>
      <c r="P24" s="243">
        <v>17705.210000000003</v>
      </c>
      <c r="Q24" s="243">
        <v>18052.939999999999</v>
      </c>
      <c r="R24" s="243">
        <v>19675.32</v>
      </c>
      <c r="S24" s="243">
        <v>19858.580000000002</v>
      </c>
      <c r="T24" s="243">
        <v>20308.68</v>
      </c>
      <c r="U24" s="263">
        <f t="shared" si="0"/>
        <v>215061.47999999998</v>
      </c>
      <c r="W24" s="264">
        <f t="shared" si="5"/>
        <v>459.49887829500847</v>
      </c>
      <c r="X24" s="264">
        <f t="shared" si="6"/>
        <v>465.4983174425127</v>
      </c>
      <c r="Y24" s="264">
        <f t="shared" si="7"/>
        <v>477.24845765563663</v>
      </c>
      <c r="Z24" s="264">
        <f t="shared" si="8"/>
        <v>481.2478968031408</v>
      </c>
      <c r="AA24" s="264">
        <f t="shared" si="9"/>
        <v>487.2661245092541</v>
      </c>
      <c r="AB24" s="264">
        <f t="shared" si="10"/>
        <v>489.73191250701069</v>
      </c>
      <c r="AC24" s="264">
        <f t="shared" si="11"/>
        <v>489.50140213123962</v>
      </c>
      <c r="AD24" s="264">
        <f t="shared" si="12"/>
        <v>496.50056085249594</v>
      </c>
      <c r="AE24" s="264">
        <f t="shared" si="13"/>
        <v>506.25182277061134</v>
      </c>
      <c r="AF24" s="264">
        <f t="shared" si="14"/>
        <v>513.71592689295039</v>
      </c>
      <c r="AG24" s="264">
        <f t="shared" si="15"/>
        <v>518.50078328981726</v>
      </c>
      <c r="AH24" s="264">
        <f t="shared" si="16"/>
        <v>530.25274151436031</v>
      </c>
      <c r="AI24" s="265">
        <f t="shared" si="17"/>
        <v>492.93456872200318</v>
      </c>
      <c r="AJ24" s="266">
        <f t="shared" si="18"/>
        <v>5915.2148246640381</v>
      </c>
      <c r="AL24" s="241">
        <v>1</v>
      </c>
      <c r="AM24" s="240">
        <f t="shared" si="2"/>
        <v>492.93456872200318</v>
      </c>
      <c r="AN24" s="241">
        <v>0</v>
      </c>
      <c r="AO24" s="240">
        <f t="shared" si="3"/>
        <v>0</v>
      </c>
      <c r="AP24" s="241">
        <v>0</v>
      </c>
      <c r="AQ24" s="240">
        <f t="shared" si="4"/>
        <v>0</v>
      </c>
    </row>
    <row r="25" spans="2:43" s="253" customFormat="1" ht="12" customHeight="1" x14ac:dyDescent="0.2">
      <c r="B25" s="241" t="str">
        <f t="shared" si="20"/>
        <v>ridgeresidentialRR32W2</v>
      </c>
      <c r="C25" s="232" t="s">
        <v>673</v>
      </c>
      <c r="D25" s="232" t="s">
        <v>84</v>
      </c>
      <c r="E25" s="238">
        <v>26.8</v>
      </c>
      <c r="F25" s="238">
        <v>26.8</v>
      </c>
      <c r="G25" s="238">
        <v>28.78</v>
      </c>
      <c r="H25" s="261"/>
      <c r="I25" s="243">
        <v>0</v>
      </c>
      <c r="J25" s="243">
        <v>0</v>
      </c>
      <c r="K25" s="243">
        <v>0</v>
      </c>
      <c r="L25" s="243">
        <v>0</v>
      </c>
      <c r="M25" s="243">
        <v>0</v>
      </c>
      <c r="N25" s="243">
        <v>0</v>
      </c>
      <c r="O25" s="243">
        <v>0</v>
      </c>
      <c r="P25" s="243">
        <v>0</v>
      </c>
      <c r="Q25" s="243">
        <v>0</v>
      </c>
      <c r="R25" s="243">
        <v>0</v>
      </c>
      <c r="S25" s="243">
        <v>0</v>
      </c>
      <c r="T25" s="243">
        <v>0</v>
      </c>
      <c r="U25" s="263">
        <f t="shared" si="0"/>
        <v>0</v>
      </c>
      <c r="W25" s="264">
        <f t="shared" si="5"/>
        <v>0</v>
      </c>
      <c r="X25" s="264">
        <f t="shared" si="6"/>
        <v>0</v>
      </c>
      <c r="Y25" s="264">
        <f t="shared" si="7"/>
        <v>0</v>
      </c>
      <c r="Z25" s="264">
        <f t="shared" si="8"/>
        <v>0</v>
      </c>
      <c r="AA25" s="264">
        <f t="shared" si="9"/>
        <v>0</v>
      </c>
      <c r="AB25" s="264">
        <f t="shared" si="10"/>
        <v>0</v>
      </c>
      <c r="AC25" s="264">
        <f t="shared" si="11"/>
        <v>0</v>
      </c>
      <c r="AD25" s="264">
        <f t="shared" si="12"/>
        <v>0</v>
      </c>
      <c r="AE25" s="264">
        <f t="shared" si="13"/>
        <v>0</v>
      </c>
      <c r="AF25" s="264">
        <f t="shared" si="14"/>
        <v>0</v>
      </c>
      <c r="AG25" s="264">
        <f t="shared" si="15"/>
        <v>0</v>
      </c>
      <c r="AH25" s="264">
        <f t="shared" si="16"/>
        <v>0</v>
      </c>
      <c r="AI25" s="265">
        <f t="shared" si="17"/>
        <v>0</v>
      </c>
      <c r="AJ25" s="266">
        <f t="shared" si="18"/>
        <v>0</v>
      </c>
      <c r="AL25" s="241">
        <v>2</v>
      </c>
      <c r="AM25" s="240">
        <f t="shared" si="2"/>
        <v>0</v>
      </c>
      <c r="AN25" s="241">
        <v>0</v>
      </c>
      <c r="AO25" s="240">
        <f t="shared" si="3"/>
        <v>0</v>
      </c>
      <c r="AP25" s="241">
        <v>0</v>
      </c>
      <c r="AQ25" s="240">
        <f t="shared" si="4"/>
        <v>0</v>
      </c>
    </row>
    <row r="26" spans="2:43" s="253" customFormat="1" ht="12" customHeight="1" x14ac:dyDescent="0.2">
      <c r="B26" s="241" t="str">
        <f t="shared" si="20"/>
        <v>ridgeresidentialRREOW</v>
      </c>
      <c r="C26" s="232" t="s">
        <v>674</v>
      </c>
      <c r="D26" s="232" t="s">
        <v>680</v>
      </c>
      <c r="E26" s="238">
        <v>14.79</v>
      </c>
      <c r="F26" s="238">
        <v>14.79</v>
      </c>
      <c r="G26" s="238">
        <v>15.88</v>
      </c>
      <c r="H26" s="261"/>
      <c r="I26" s="243">
        <v>0</v>
      </c>
      <c r="J26" s="243">
        <v>0</v>
      </c>
      <c r="K26" s="243">
        <v>0</v>
      </c>
      <c r="L26" s="243">
        <v>0</v>
      </c>
      <c r="M26" s="243">
        <v>0</v>
      </c>
      <c r="N26" s="243">
        <v>0</v>
      </c>
      <c r="O26" s="243">
        <v>0</v>
      </c>
      <c r="P26" s="243">
        <v>0</v>
      </c>
      <c r="Q26" s="243">
        <v>0</v>
      </c>
      <c r="R26" s="243">
        <v>0</v>
      </c>
      <c r="S26" s="243">
        <v>0</v>
      </c>
      <c r="T26" s="243">
        <v>0</v>
      </c>
      <c r="U26" s="263">
        <f t="shared" si="0"/>
        <v>0</v>
      </c>
      <c r="W26" s="264">
        <f t="shared" si="5"/>
        <v>0</v>
      </c>
      <c r="X26" s="264">
        <f t="shared" si="6"/>
        <v>0</v>
      </c>
      <c r="Y26" s="264">
        <f t="shared" si="7"/>
        <v>0</v>
      </c>
      <c r="Z26" s="264">
        <f t="shared" si="8"/>
        <v>0</v>
      </c>
      <c r="AA26" s="264">
        <f t="shared" si="9"/>
        <v>0</v>
      </c>
      <c r="AB26" s="264">
        <f t="shared" si="10"/>
        <v>0</v>
      </c>
      <c r="AC26" s="264">
        <f t="shared" si="11"/>
        <v>0</v>
      </c>
      <c r="AD26" s="264">
        <f t="shared" si="12"/>
        <v>0</v>
      </c>
      <c r="AE26" s="264">
        <f t="shared" si="13"/>
        <v>0</v>
      </c>
      <c r="AF26" s="264">
        <f t="shared" si="14"/>
        <v>0</v>
      </c>
      <c r="AG26" s="264">
        <f t="shared" si="15"/>
        <v>0</v>
      </c>
      <c r="AH26" s="264">
        <f t="shared" si="16"/>
        <v>0</v>
      </c>
      <c r="AI26" s="265">
        <f t="shared" si="17"/>
        <v>0</v>
      </c>
      <c r="AJ26" s="266">
        <f t="shared" si="18"/>
        <v>0</v>
      </c>
      <c r="AL26" s="241">
        <v>1</v>
      </c>
      <c r="AM26" s="240">
        <f t="shared" si="2"/>
        <v>0</v>
      </c>
      <c r="AN26" s="241">
        <v>0</v>
      </c>
      <c r="AO26" s="240">
        <f t="shared" si="3"/>
        <v>0</v>
      </c>
      <c r="AP26" s="241">
        <v>0</v>
      </c>
      <c r="AQ26" s="240">
        <f t="shared" si="4"/>
        <v>0</v>
      </c>
    </row>
    <row r="27" spans="2:43" ht="12" customHeight="1" x14ac:dyDescent="0.2">
      <c r="B27" s="1" t="str">
        <f t="shared" ref="B27:B34" si="21">"ridge"&amp;"residential Extras"&amp;C27</f>
        <v>ridgeresidential ExtrasWBMISC</v>
      </c>
      <c r="C27" s="58" t="s">
        <v>75</v>
      </c>
      <c r="D27" s="58" t="s">
        <v>107</v>
      </c>
      <c r="E27" s="11">
        <v>22.85</v>
      </c>
      <c r="F27" s="11">
        <v>22.85</v>
      </c>
      <c r="G27" s="11">
        <v>24.54</v>
      </c>
      <c r="H27" s="55"/>
      <c r="I27" s="14">
        <v>114.25</v>
      </c>
      <c r="J27" s="14">
        <v>754.05</v>
      </c>
      <c r="K27" s="14">
        <v>342.75</v>
      </c>
      <c r="L27" s="14">
        <v>274.2</v>
      </c>
      <c r="M27" s="14">
        <v>365.6</v>
      </c>
      <c r="N27" s="14">
        <v>457</v>
      </c>
      <c r="O27" s="14">
        <v>479.85</v>
      </c>
      <c r="P27" s="14">
        <v>548.4</v>
      </c>
      <c r="Q27" s="14">
        <v>205.65</v>
      </c>
      <c r="R27" s="14">
        <v>294.48</v>
      </c>
      <c r="S27" s="14">
        <v>122.7</v>
      </c>
      <c r="T27" s="14">
        <v>73.62</v>
      </c>
      <c r="U27" s="73">
        <f t="shared" si="0"/>
        <v>4032.5499999999997</v>
      </c>
      <c r="W27" s="49">
        <f t="shared" si="5"/>
        <v>5</v>
      </c>
      <c r="X27" s="49">
        <f t="shared" si="6"/>
        <v>32.999999999999993</v>
      </c>
      <c r="Y27" s="49">
        <f t="shared" si="7"/>
        <v>14.999999999999998</v>
      </c>
      <c r="Z27" s="49">
        <f t="shared" si="8"/>
        <v>11.999999999999998</v>
      </c>
      <c r="AA27" s="49">
        <f t="shared" si="9"/>
        <v>16</v>
      </c>
      <c r="AB27" s="49">
        <f t="shared" si="10"/>
        <v>20</v>
      </c>
      <c r="AC27" s="49">
        <f t="shared" si="11"/>
        <v>21</v>
      </c>
      <c r="AD27" s="49">
        <f t="shared" si="12"/>
        <v>23.999999999999996</v>
      </c>
      <c r="AE27" s="49">
        <f t="shared" si="13"/>
        <v>9</v>
      </c>
      <c r="AF27" s="49">
        <f t="shared" si="14"/>
        <v>12.000000000000002</v>
      </c>
      <c r="AG27" s="49">
        <f t="shared" si="15"/>
        <v>5</v>
      </c>
      <c r="AH27" s="49">
        <f t="shared" si="16"/>
        <v>3.0000000000000004</v>
      </c>
      <c r="AI27" s="47">
        <f t="shared" si="17"/>
        <v>14.58333333333333</v>
      </c>
      <c r="AJ27" s="134">
        <f t="shared" si="18"/>
        <v>174.99999999999997</v>
      </c>
      <c r="AL27" s="212">
        <v>0</v>
      </c>
      <c r="AM27" s="25">
        <f t="shared" si="2"/>
        <v>0</v>
      </c>
      <c r="AN27" s="212">
        <v>0</v>
      </c>
      <c r="AO27" s="25">
        <f t="shared" si="3"/>
        <v>0</v>
      </c>
      <c r="AP27" s="212">
        <v>0</v>
      </c>
      <c r="AQ27" s="25">
        <f t="shared" si="4"/>
        <v>0</v>
      </c>
    </row>
    <row r="28" spans="2:43" ht="12" customHeight="1" x14ac:dyDescent="0.2">
      <c r="B28" s="1" t="str">
        <f t="shared" si="21"/>
        <v>ridgeresidential ExtrasWBCHAIR</v>
      </c>
      <c r="C28" s="58" t="s">
        <v>76</v>
      </c>
      <c r="D28" s="58" t="s">
        <v>108</v>
      </c>
      <c r="E28" s="11">
        <v>22.85</v>
      </c>
      <c r="F28" s="11">
        <v>22.85</v>
      </c>
      <c r="G28" s="11">
        <v>24.54</v>
      </c>
      <c r="H28" s="55"/>
      <c r="I28" s="14">
        <v>114.25</v>
      </c>
      <c r="J28" s="14">
        <v>22.85</v>
      </c>
      <c r="K28" s="14">
        <v>114.25</v>
      </c>
      <c r="L28" s="14">
        <v>45.7</v>
      </c>
      <c r="M28" s="14">
        <v>22.85</v>
      </c>
      <c r="N28" s="14">
        <v>91.4</v>
      </c>
      <c r="O28" s="14">
        <v>45.7</v>
      </c>
      <c r="P28" s="14">
        <v>91.4</v>
      </c>
      <c r="Q28" s="14">
        <v>114.25</v>
      </c>
      <c r="R28" s="14">
        <v>73.62</v>
      </c>
      <c r="S28" s="14">
        <v>98.16</v>
      </c>
      <c r="T28" s="14">
        <v>49.08</v>
      </c>
      <c r="U28" s="73">
        <f t="shared" si="0"/>
        <v>883.5100000000001</v>
      </c>
      <c r="W28" s="49">
        <f t="shared" si="5"/>
        <v>5</v>
      </c>
      <c r="X28" s="49">
        <f t="shared" si="6"/>
        <v>1</v>
      </c>
      <c r="Y28" s="49">
        <f t="shared" si="7"/>
        <v>5</v>
      </c>
      <c r="Z28" s="49">
        <f t="shared" si="8"/>
        <v>2</v>
      </c>
      <c r="AA28" s="49">
        <f t="shared" si="9"/>
        <v>1</v>
      </c>
      <c r="AB28" s="49">
        <f t="shared" si="10"/>
        <v>4</v>
      </c>
      <c r="AC28" s="49">
        <f t="shared" si="11"/>
        <v>2</v>
      </c>
      <c r="AD28" s="49">
        <f t="shared" si="12"/>
        <v>4</v>
      </c>
      <c r="AE28" s="49">
        <f t="shared" si="13"/>
        <v>5</v>
      </c>
      <c r="AF28" s="49">
        <f t="shared" si="14"/>
        <v>3.0000000000000004</v>
      </c>
      <c r="AG28" s="49">
        <f t="shared" si="15"/>
        <v>4</v>
      </c>
      <c r="AH28" s="49">
        <f t="shared" si="16"/>
        <v>2</v>
      </c>
      <c r="AI28" s="47">
        <f t="shared" si="17"/>
        <v>3.1666666666666665</v>
      </c>
      <c r="AJ28" s="134">
        <f t="shared" si="18"/>
        <v>38</v>
      </c>
      <c r="AL28" s="212">
        <v>0</v>
      </c>
      <c r="AM28" s="25">
        <f t="shared" si="2"/>
        <v>0</v>
      </c>
      <c r="AN28" s="212">
        <v>0</v>
      </c>
      <c r="AO28" s="25">
        <f t="shared" si="3"/>
        <v>0</v>
      </c>
      <c r="AP28" s="212">
        <v>0</v>
      </c>
      <c r="AQ28" s="25">
        <f t="shared" si="4"/>
        <v>0</v>
      </c>
    </row>
    <row r="29" spans="2:43" ht="12" customHeight="1" x14ac:dyDescent="0.2">
      <c r="B29" s="1" t="str">
        <f t="shared" si="21"/>
        <v>ridgeresidential ExtrasWCTIRE</v>
      </c>
      <c r="C29" s="58" t="s">
        <v>401</v>
      </c>
      <c r="D29" s="58" t="s">
        <v>411</v>
      </c>
      <c r="E29" s="11">
        <v>6.13</v>
      </c>
      <c r="F29" s="11">
        <v>6.13</v>
      </c>
      <c r="G29" s="11">
        <v>6.58</v>
      </c>
      <c r="H29" s="55"/>
      <c r="I29" s="14">
        <v>0</v>
      </c>
      <c r="J29" s="14">
        <v>0</v>
      </c>
      <c r="K29" s="14">
        <v>0</v>
      </c>
      <c r="L29" s="14">
        <v>0</v>
      </c>
      <c r="M29" s="14">
        <v>0</v>
      </c>
      <c r="N29" s="14">
        <v>0</v>
      </c>
      <c r="O29" s="14">
        <v>6.13</v>
      </c>
      <c r="P29" s="14">
        <v>104.21</v>
      </c>
      <c r="Q29" s="14">
        <v>0</v>
      </c>
      <c r="R29" s="14">
        <v>0</v>
      </c>
      <c r="S29" s="14">
        <v>6.58</v>
      </c>
      <c r="T29" s="14">
        <v>0</v>
      </c>
      <c r="U29" s="73">
        <f t="shared" si="0"/>
        <v>116.91999999999999</v>
      </c>
      <c r="W29" s="49">
        <f t="shared" si="5"/>
        <v>0</v>
      </c>
      <c r="X29" s="49">
        <f t="shared" si="6"/>
        <v>0</v>
      </c>
      <c r="Y29" s="49">
        <f t="shared" si="7"/>
        <v>0</v>
      </c>
      <c r="Z29" s="49">
        <f t="shared" si="8"/>
        <v>0</v>
      </c>
      <c r="AA29" s="49">
        <f t="shared" si="9"/>
        <v>0</v>
      </c>
      <c r="AB29" s="49">
        <f t="shared" si="10"/>
        <v>0</v>
      </c>
      <c r="AC29" s="49">
        <f t="shared" si="11"/>
        <v>1</v>
      </c>
      <c r="AD29" s="49">
        <f t="shared" si="12"/>
        <v>17</v>
      </c>
      <c r="AE29" s="49">
        <f t="shared" si="13"/>
        <v>0</v>
      </c>
      <c r="AF29" s="49">
        <f t="shared" si="14"/>
        <v>0</v>
      </c>
      <c r="AG29" s="49">
        <f t="shared" si="15"/>
        <v>1</v>
      </c>
      <c r="AH29" s="49">
        <f t="shared" si="16"/>
        <v>0</v>
      </c>
      <c r="AI29" s="47">
        <f t="shared" si="17"/>
        <v>1.5833333333333333</v>
      </c>
      <c r="AJ29" s="134">
        <f t="shared" si="18"/>
        <v>19</v>
      </c>
      <c r="AL29" s="212">
        <v>0</v>
      </c>
      <c r="AM29" s="25">
        <f t="shared" si="2"/>
        <v>0</v>
      </c>
      <c r="AN29" s="212">
        <v>0</v>
      </c>
      <c r="AO29" s="25">
        <f t="shared" si="3"/>
        <v>0</v>
      </c>
      <c r="AP29" s="212">
        <v>0</v>
      </c>
      <c r="AQ29" s="25">
        <f t="shared" si="4"/>
        <v>0</v>
      </c>
    </row>
    <row r="30" spans="2:43" ht="12" customHeight="1" x14ac:dyDescent="0.2">
      <c r="B30" s="1" t="str">
        <f t="shared" si="21"/>
        <v>ridgeresidential ExtrasWBREFRIGE</v>
      </c>
      <c r="C30" s="58" t="s">
        <v>397</v>
      </c>
      <c r="D30" s="58" t="s">
        <v>407</v>
      </c>
      <c r="E30" s="11">
        <v>45.62</v>
      </c>
      <c r="F30" s="11">
        <v>45.62</v>
      </c>
      <c r="G30" s="11">
        <v>49</v>
      </c>
      <c r="H30" s="55"/>
      <c r="I30" s="14">
        <v>45.62</v>
      </c>
      <c r="J30" s="14">
        <v>0</v>
      </c>
      <c r="K30" s="14">
        <v>136.86000000000001</v>
      </c>
      <c r="L30" s="14">
        <v>0</v>
      </c>
      <c r="M30" s="14">
        <v>228.1</v>
      </c>
      <c r="N30" s="14">
        <v>0</v>
      </c>
      <c r="O30" s="14">
        <v>45.62</v>
      </c>
      <c r="P30" s="14">
        <v>0</v>
      </c>
      <c r="Q30" s="14">
        <v>91.24</v>
      </c>
      <c r="R30" s="14">
        <v>49</v>
      </c>
      <c r="S30" s="14">
        <v>49</v>
      </c>
      <c r="T30" s="14">
        <v>49</v>
      </c>
      <c r="U30" s="73">
        <f t="shared" si="0"/>
        <v>694.44</v>
      </c>
      <c r="W30" s="49">
        <f t="shared" si="5"/>
        <v>1</v>
      </c>
      <c r="X30" s="49">
        <f t="shared" si="6"/>
        <v>0</v>
      </c>
      <c r="Y30" s="49">
        <f t="shared" si="7"/>
        <v>3.0000000000000004</v>
      </c>
      <c r="Z30" s="49">
        <f t="shared" si="8"/>
        <v>0</v>
      </c>
      <c r="AA30" s="49">
        <f t="shared" si="9"/>
        <v>5</v>
      </c>
      <c r="AB30" s="49">
        <f t="shared" si="10"/>
        <v>0</v>
      </c>
      <c r="AC30" s="49">
        <f t="shared" si="11"/>
        <v>1</v>
      </c>
      <c r="AD30" s="49">
        <f t="shared" si="12"/>
        <v>0</v>
      </c>
      <c r="AE30" s="49">
        <f t="shared" si="13"/>
        <v>2</v>
      </c>
      <c r="AF30" s="49">
        <f t="shared" si="14"/>
        <v>1</v>
      </c>
      <c r="AG30" s="49">
        <f t="shared" si="15"/>
        <v>1</v>
      </c>
      <c r="AH30" s="49">
        <f t="shared" si="16"/>
        <v>1</v>
      </c>
      <c r="AI30" s="47">
        <f t="shared" si="17"/>
        <v>1.25</v>
      </c>
      <c r="AJ30" s="134">
        <f t="shared" si="18"/>
        <v>15</v>
      </c>
      <c r="AL30" s="212">
        <v>0</v>
      </c>
      <c r="AM30" s="25">
        <f t="shared" si="2"/>
        <v>0</v>
      </c>
      <c r="AN30" s="212">
        <v>0</v>
      </c>
      <c r="AO30" s="25">
        <f t="shared" si="3"/>
        <v>0</v>
      </c>
      <c r="AP30" s="212">
        <v>0</v>
      </c>
      <c r="AQ30" s="25">
        <f t="shared" si="4"/>
        <v>0</v>
      </c>
    </row>
    <row r="31" spans="2:43" ht="12" customHeight="1" x14ac:dyDescent="0.2">
      <c r="B31" s="1" t="str">
        <f t="shared" si="21"/>
        <v>ridgeresidential ExtrasRREXC</v>
      </c>
      <c r="C31" s="58" t="s">
        <v>59</v>
      </c>
      <c r="D31" s="58" t="s">
        <v>91</v>
      </c>
      <c r="E31" s="11">
        <v>6.99</v>
      </c>
      <c r="F31" s="11">
        <v>6.99</v>
      </c>
      <c r="G31" s="11">
        <v>7.51</v>
      </c>
      <c r="H31" s="55"/>
      <c r="I31" s="14">
        <v>3110.55</v>
      </c>
      <c r="J31" s="14">
        <v>3914.4</v>
      </c>
      <c r="K31" s="14">
        <v>4424.67</v>
      </c>
      <c r="L31" s="14">
        <v>4200.99</v>
      </c>
      <c r="M31" s="14">
        <v>3432.09</v>
      </c>
      <c r="N31" s="14">
        <v>3506.78</v>
      </c>
      <c r="O31" s="14">
        <v>3627.81</v>
      </c>
      <c r="P31" s="14">
        <v>3851.49</v>
      </c>
      <c r="Q31" s="14">
        <v>5074.74</v>
      </c>
      <c r="R31" s="14">
        <v>5055.37</v>
      </c>
      <c r="S31" s="14">
        <v>3763.03</v>
      </c>
      <c r="T31" s="14">
        <v>4263.0600000000004</v>
      </c>
      <c r="U31" s="73">
        <f t="shared" si="0"/>
        <v>48224.979999999996</v>
      </c>
      <c r="W31" s="49">
        <f t="shared" si="5"/>
        <v>445</v>
      </c>
      <c r="X31" s="49">
        <f t="shared" si="6"/>
        <v>560</v>
      </c>
      <c r="Y31" s="49">
        <f t="shared" si="7"/>
        <v>633</v>
      </c>
      <c r="Z31" s="49">
        <f t="shared" si="8"/>
        <v>601</v>
      </c>
      <c r="AA31" s="49">
        <f t="shared" si="9"/>
        <v>491</v>
      </c>
      <c r="AB31" s="49">
        <f t="shared" si="10"/>
        <v>501.68526466380547</v>
      </c>
      <c r="AC31" s="49">
        <f t="shared" si="11"/>
        <v>519</v>
      </c>
      <c r="AD31" s="49">
        <f t="shared" si="12"/>
        <v>551</v>
      </c>
      <c r="AE31" s="49">
        <f t="shared" si="13"/>
        <v>726</v>
      </c>
      <c r="AF31" s="49">
        <f t="shared" si="14"/>
        <v>673.15179760319575</v>
      </c>
      <c r="AG31" s="49">
        <f t="shared" si="15"/>
        <v>501.06924101198405</v>
      </c>
      <c r="AH31" s="49">
        <f t="shared" si="16"/>
        <v>567.65113182423443</v>
      </c>
      <c r="AI31" s="47">
        <f t="shared" si="17"/>
        <v>564.1297862586016</v>
      </c>
      <c r="AJ31" s="134">
        <f t="shared" si="18"/>
        <v>6769.5574351032192</v>
      </c>
      <c r="AL31" s="212">
        <v>0</v>
      </c>
      <c r="AM31" s="25">
        <f t="shared" si="2"/>
        <v>0</v>
      </c>
      <c r="AN31" s="212">
        <v>0</v>
      </c>
      <c r="AO31" s="25">
        <f t="shared" si="3"/>
        <v>0</v>
      </c>
      <c r="AP31" s="212">
        <v>0</v>
      </c>
      <c r="AQ31" s="25">
        <f t="shared" si="4"/>
        <v>0</v>
      </c>
    </row>
    <row r="32" spans="2:43" ht="12" customHeight="1" x14ac:dyDescent="0.2">
      <c r="B32" s="1" t="str">
        <f t="shared" si="21"/>
        <v>ridgeresidential ExtrasCOFOW</v>
      </c>
      <c r="C32" s="58" t="s">
        <v>676</v>
      </c>
      <c r="D32" s="58" t="s">
        <v>93</v>
      </c>
      <c r="E32" s="11">
        <v>6.99</v>
      </c>
      <c r="F32" s="11">
        <v>6.99</v>
      </c>
      <c r="G32" s="11">
        <v>7.51</v>
      </c>
      <c r="H32" s="55"/>
      <c r="I32" s="14">
        <v>6.99</v>
      </c>
      <c r="J32" s="14">
        <v>0</v>
      </c>
      <c r="K32" s="14">
        <v>6.99</v>
      </c>
      <c r="L32" s="14">
        <v>0</v>
      </c>
      <c r="M32" s="14">
        <v>0</v>
      </c>
      <c r="N32" s="14">
        <v>0</v>
      </c>
      <c r="O32" s="14">
        <v>0</v>
      </c>
      <c r="P32" s="14">
        <v>0</v>
      </c>
      <c r="Q32" s="14">
        <v>6.99</v>
      </c>
      <c r="R32" s="14">
        <v>0</v>
      </c>
      <c r="S32" s="14">
        <v>0</v>
      </c>
      <c r="T32" s="14">
        <v>0</v>
      </c>
      <c r="U32" s="73">
        <f t="shared" si="0"/>
        <v>20.97</v>
      </c>
      <c r="W32" s="49">
        <f t="shared" si="5"/>
        <v>1</v>
      </c>
      <c r="X32" s="49">
        <f t="shared" si="6"/>
        <v>0</v>
      </c>
      <c r="Y32" s="49">
        <f t="shared" si="7"/>
        <v>1</v>
      </c>
      <c r="Z32" s="49">
        <f t="shared" si="8"/>
        <v>0</v>
      </c>
      <c r="AA32" s="49">
        <f t="shared" si="9"/>
        <v>0</v>
      </c>
      <c r="AB32" s="49">
        <f t="shared" si="10"/>
        <v>0</v>
      </c>
      <c r="AC32" s="49">
        <f t="shared" si="11"/>
        <v>0</v>
      </c>
      <c r="AD32" s="49">
        <f t="shared" si="12"/>
        <v>0</v>
      </c>
      <c r="AE32" s="49">
        <f t="shared" si="13"/>
        <v>1</v>
      </c>
      <c r="AF32" s="49">
        <f t="shared" si="14"/>
        <v>0</v>
      </c>
      <c r="AG32" s="49">
        <f t="shared" si="15"/>
        <v>0</v>
      </c>
      <c r="AH32" s="49">
        <f t="shared" si="16"/>
        <v>0</v>
      </c>
      <c r="AI32" s="47">
        <f t="shared" si="17"/>
        <v>0.25</v>
      </c>
      <c r="AJ32" s="134">
        <f t="shared" si="18"/>
        <v>3</v>
      </c>
      <c r="AL32" s="212">
        <v>0</v>
      </c>
      <c r="AM32" s="25">
        <f t="shared" si="2"/>
        <v>0</v>
      </c>
      <c r="AN32" s="212">
        <v>0</v>
      </c>
      <c r="AO32" s="25">
        <f t="shared" si="3"/>
        <v>0</v>
      </c>
      <c r="AP32" s="212">
        <v>0</v>
      </c>
      <c r="AQ32" s="25">
        <f t="shared" si="4"/>
        <v>0</v>
      </c>
    </row>
    <row r="33" spans="2:43" ht="12" customHeight="1" x14ac:dyDescent="0.2">
      <c r="B33" s="1" t="str">
        <f t="shared" si="21"/>
        <v>ridgeresidential ExtrasROFOW</v>
      </c>
      <c r="C33" s="58" t="s">
        <v>61</v>
      </c>
      <c r="D33" s="58" t="s">
        <v>93</v>
      </c>
      <c r="E33" s="11">
        <v>6.99</v>
      </c>
      <c r="F33" s="11">
        <v>6.99</v>
      </c>
      <c r="G33" s="11">
        <v>7.51</v>
      </c>
      <c r="H33" s="55"/>
      <c r="I33" s="14">
        <v>391.44</v>
      </c>
      <c r="J33" s="14">
        <v>412.41</v>
      </c>
      <c r="K33" s="14">
        <v>293.58</v>
      </c>
      <c r="L33" s="14">
        <v>293.58</v>
      </c>
      <c r="M33" s="14">
        <v>321.54000000000002</v>
      </c>
      <c r="N33" s="14">
        <v>999.57</v>
      </c>
      <c r="O33" s="14">
        <v>300.57</v>
      </c>
      <c r="P33" s="14">
        <v>293.58</v>
      </c>
      <c r="Q33" s="14">
        <v>608.13</v>
      </c>
      <c r="R33" s="14">
        <v>420.27</v>
      </c>
      <c r="S33" s="14">
        <v>232.81</v>
      </c>
      <c r="T33" s="14">
        <v>300.39999999999998</v>
      </c>
      <c r="U33" s="73">
        <f t="shared" si="0"/>
        <v>4867.88</v>
      </c>
      <c r="W33" s="49">
        <f t="shared" si="5"/>
        <v>56</v>
      </c>
      <c r="X33" s="49">
        <f t="shared" si="6"/>
        <v>59</v>
      </c>
      <c r="Y33" s="49">
        <f t="shared" si="7"/>
        <v>41.999999999999993</v>
      </c>
      <c r="Z33" s="49">
        <f t="shared" si="8"/>
        <v>41.999999999999993</v>
      </c>
      <c r="AA33" s="49">
        <f t="shared" si="9"/>
        <v>46</v>
      </c>
      <c r="AB33" s="49">
        <f t="shared" si="10"/>
        <v>143</v>
      </c>
      <c r="AC33" s="49">
        <f t="shared" si="11"/>
        <v>43</v>
      </c>
      <c r="AD33" s="49">
        <f t="shared" si="12"/>
        <v>41.999999999999993</v>
      </c>
      <c r="AE33" s="49">
        <f t="shared" si="13"/>
        <v>87</v>
      </c>
      <c r="AF33" s="49">
        <f t="shared" si="14"/>
        <v>55.96138482023968</v>
      </c>
      <c r="AG33" s="49">
        <f t="shared" si="15"/>
        <v>31</v>
      </c>
      <c r="AH33" s="49">
        <f t="shared" si="16"/>
        <v>40</v>
      </c>
      <c r="AI33" s="47">
        <f t="shared" si="17"/>
        <v>57.246782068353305</v>
      </c>
      <c r="AJ33" s="134">
        <f t="shared" si="18"/>
        <v>686.96138482023969</v>
      </c>
      <c r="AL33" s="212">
        <v>0</v>
      </c>
      <c r="AM33" s="25">
        <f t="shared" si="2"/>
        <v>0</v>
      </c>
      <c r="AN33" s="212">
        <v>0</v>
      </c>
      <c r="AO33" s="25">
        <f t="shared" si="3"/>
        <v>0</v>
      </c>
      <c r="AP33" s="212">
        <v>0</v>
      </c>
      <c r="AQ33" s="25">
        <f t="shared" si="4"/>
        <v>0</v>
      </c>
    </row>
    <row r="34" spans="2:43" ht="12" customHeight="1" x14ac:dyDescent="0.2">
      <c r="B34" s="1" t="str">
        <f t="shared" si="21"/>
        <v>ridgeresidential ExtrasRRTRIP</v>
      </c>
      <c r="C34" s="58" t="s">
        <v>74</v>
      </c>
      <c r="D34" s="58" t="s">
        <v>106</v>
      </c>
      <c r="E34" s="11">
        <v>13.7</v>
      </c>
      <c r="F34" s="11">
        <v>13.7</v>
      </c>
      <c r="G34" s="11">
        <v>14.71</v>
      </c>
      <c r="H34" s="55"/>
      <c r="I34" s="14">
        <v>13.7</v>
      </c>
      <c r="J34" s="14">
        <v>0</v>
      </c>
      <c r="K34" s="14">
        <v>68.5</v>
      </c>
      <c r="L34" s="14">
        <v>68.5</v>
      </c>
      <c r="M34" s="14">
        <v>13.7</v>
      </c>
      <c r="N34" s="14">
        <v>68.5</v>
      </c>
      <c r="O34" s="14">
        <v>41.1</v>
      </c>
      <c r="P34" s="14">
        <v>27.4</v>
      </c>
      <c r="Q34" s="14">
        <v>41.1</v>
      </c>
      <c r="R34" s="14">
        <v>73.55</v>
      </c>
      <c r="S34" s="14">
        <v>58.84</v>
      </c>
      <c r="T34" s="14">
        <v>0</v>
      </c>
      <c r="U34" s="73">
        <f t="shared" si="0"/>
        <v>474.89</v>
      </c>
      <c r="W34" s="49">
        <f t="shared" si="5"/>
        <v>1</v>
      </c>
      <c r="X34" s="49">
        <f t="shared" si="6"/>
        <v>0</v>
      </c>
      <c r="Y34" s="49">
        <f t="shared" si="7"/>
        <v>5</v>
      </c>
      <c r="Z34" s="49">
        <f t="shared" si="8"/>
        <v>5</v>
      </c>
      <c r="AA34" s="49">
        <f t="shared" si="9"/>
        <v>1</v>
      </c>
      <c r="AB34" s="49">
        <f t="shared" si="10"/>
        <v>5</v>
      </c>
      <c r="AC34" s="49">
        <f t="shared" si="11"/>
        <v>3.0000000000000004</v>
      </c>
      <c r="AD34" s="49">
        <f t="shared" si="12"/>
        <v>2</v>
      </c>
      <c r="AE34" s="49">
        <f t="shared" si="13"/>
        <v>3.0000000000000004</v>
      </c>
      <c r="AF34" s="49">
        <f t="shared" si="14"/>
        <v>4.9999999999999991</v>
      </c>
      <c r="AG34" s="49">
        <f t="shared" si="15"/>
        <v>4</v>
      </c>
      <c r="AH34" s="49">
        <f t="shared" si="16"/>
        <v>0</v>
      </c>
      <c r="AI34" s="47">
        <f t="shared" si="17"/>
        <v>2.8333333333333335</v>
      </c>
      <c r="AJ34" s="134">
        <f t="shared" si="18"/>
        <v>34</v>
      </c>
      <c r="AL34" s="212">
        <v>0</v>
      </c>
      <c r="AM34" s="25">
        <f t="shared" si="2"/>
        <v>0</v>
      </c>
      <c r="AN34" s="212">
        <v>0</v>
      </c>
      <c r="AO34" s="25">
        <f t="shared" si="3"/>
        <v>0</v>
      </c>
      <c r="AP34" s="212">
        <v>0</v>
      </c>
      <c r="AQ34" s="25">
        <f t="shared" si="4"/>
        <v>0</v>
      </c>
    </row>
    <row r="35" spans="2:43" ht="12" customHeight="1" x14ac:dyDescent="0.2">
      <c r="B35" s="1" t="str">
        <f>"ridge"&amp;"residential"&amp;C35</f>
        <v>ridgeresidentialRRDRVIN</v>
      </c>
      <c r="C35" s="58" t="s">
        <v>677</v>
      </c>
      <c r="D35" s="58" t="s">
        <v>298</v>
      </c>
      <c r="E35" s="11">
        <v>11.4</v>
      </c>
      <c r="F35" s="11">
        <v>11.4</v>
      </c>
      <c r="G35" s="11">
        <v>12.24</v>
      </c>
      <c r="H35" s="55"/>
      <c r="I35" s="14">
        <v>11.4</v>
      </c>
      <c r="J35" s="14">
        <v>11.4</v>
      </c>
      <c r="K35" s="14">
        <v>11.4</v>
      </c>
      <c r="L35" s="14">
        <v>11.4</v>
      </c>
      <c r="M35" s="14">
        <v>11.4</v>
      </c>
      <c r="N35" s="14">
        <v>11.4</v>
      </c>
      <c r="O35" s="14">
        <v>11.4</v>
      </c>
      <c r="P35" s="14">
        <v>11.4</v>
      </c>
      <c r="Q35" s="14">
        <v>11.4</v>
      </c>
      <c r="R35" s="14">
        <v>12.24</v>
      </c>
      <c r="S35" s="14">
        <v>12.24</v>
      </c>
      <c r="T35" s="14">
        <v>12.24</v>
      </c>
      <c r="U35" s="73">
        <f t="shared" si="0"/>
        <v>139.32000000000002</v>
      </c>
      <c r="W35" s="49">
        <f t="shared" si="5"/>
        <v>1</v>
      </c>
      <c r="X35" s="49">
        <f t="shared" si="6"/>
        <v>1</v>
      </c>
      <c r="Y35" s="49">
        <f t="shared" si="7"/>
        <v>1</v>
      </c>
      <c r="Z35" s="49">
        <f t="shared" si="8"/>
        <v>1</v>
      </c>
      <c r="AA35" s="49">
        <f t="shared" si="9"/>
        <v>1</v>
      </c>
      <c r="AB35" s="49">
        <f t="shared" si="10"/>
        <v>1</v>
      </c>
      <c r="AC35" s="49">
        <f t="shared" si="11"/>
        <v>1</v>
      </c>
      <c r="AD35" s="49">
        <f t="shared" si="12"/>
        <v>1</v>
      </c>
      <c r="AE35" s="49">
        <f t="shared" si="13"/>
        <v>1</v>
      </c>
      <c r="AF35" s="49">
        <f t="shared" si="14"/>
        <v>1</v>
      </c>
      <c r="AG35" s="49">
        <f t="shared" si="15"/>
        <v>1</v>
      </c>
      <c r="AH35" s="49">
        <f t="shared" si="16"/>
        <v>1</v>
      </c>
      <c r="AI35" s="47">
        <f t="shared" si="17"/>
        <v>1</v>
      </c>
      <c r="AJ35" s="134">
        <f t="shared" si="18"/>
        <v>12</v>
      </c>
      <c r="AL35" s="212">
        <v>0</v>
      </c>
      <c r="AM35" s="25">
        <f t="shared" si="2"/>
        <v>0</v>
      </c>
      <c r="AN35" s="212">
        <v>0</v>
      </c>
      <c r="AO35" s="25">
        <f t="shared" si="3"/>
        <v>0</v>
      </c>
      <c r="AP35" s="212">
        <v>0</v>
      </c>
      <c r="AQ35" s="25">
        <f t="shared" si="4"/>
        <v>0</v>
      </c>
    </row>
    <row r="36" spans="2:43" ht="12" customHeight="1" x14ac:dyDescent="0.2">
      <c r="B36" s="1" t="str">
        <f>"ridge"&amp;"residential"&amp;C36</f>
        <v>ridgeresidentialRDGD6</v>
      </c>
      <c r="C36" s="58" t="s">
        <v>678</v>
      </c>
      <c r="D36" s="58" t="s">
        <v>94</v>
      </c>
      <c r="E36" s="11">
        <v>3.43</v>
      </c>
      <c r="F36" s="11">
        <v>3.43</v>
      </c>
      <c r="G36" s="11">
        <v>3.68</v>
      </c>
      <c r="H36" s="55"/>
      <c r="I36" s="14">
        <v>6.86</v>
      </c>
      <c r="J36" s="14">
        <v>6.86</v>
      </c>
      <c r="K36" s="14">
        <v>6.86</v>
      </c>
      <c r="L36" s="14">
        <v>6.86</v>
      </c>
      <c r="M36" s="14">
        <v>8.57</v>
      </c>
      <c r="N36" s="14">
        <v>10.29</v>
      </c>
      <c r="O36" s="14">
        <v>10.29</v>
      </c>
      <c r="P36" s="14">
        <v>10.29</v>
      </c>
      <c r="Q36" s="14">
        <v>10.29</v>
      </c>
      <c r="R36" s="14">
        <v>12.88</v>
      </c>
      <c r="S36" s="14">
        <v>14.72</v>
      </c>
      <c r="T36" s="14">
        <v>14.72</v>
      </c>
      <c r="U36" s="73">
        <f t="shared" si="0"/>
        <v>119.48999999999998</v>
      </c>
      <c r="W36" s="49">
        <f t="shared" si="5"/>
        <v>2</v>
      </c>
      <c r="X36" s="49">
        <f t="shared" si="6"/>
        <v>2</v>
      </c>
      <c r="Y36" s="49">
        <f t="shared" si="7"/>
        <v>2</v>
      </c>
      <c r="Z36" s="49">
        <f t="shared" si="8"/>
        <v>2</v>
      </c>
      <c r="AA36" s="49">
        <f t="shared" si="9"/>
        <v>2.4985422740524781</v>
      </c>
      <c r="AB36" s="49">
        <f t="shared" si="10"/>
        <v>2.9999999999999996</v>
      </c>
      <c r="AC36" s="49">
        <f t="shared" si="11"/>
        <v>2.9999999999999996</v>
      </c>
      <c r="AD36" s="49">
        <f t="shared" si="12"/>
        <v>2.9999999999999996</v>
      </c>
      <c r="AE36" s="49">
        <f t="shared" si="13"/>
        <v>2.9999999999999996</v>
      </c>
      <c r="AF36" s="49">
        <f t="shared" si="14"/>
        <v>3.5</v>
      </c>
      <c r="AG36" s="49">
        <f t="shared" si="15"/>
        <v>4</v>
      </c>
      <c r="AH36" s="49">
        <f t="shared" si="16"/>
        <v>4</v>
      </c>
      <c r="AI36" s="47">
        <f t="shared" si="17"/>
        <v>2.8332118561710402</v>
      </c>
      <c r="AJ36" s="134">
        <f t="shared" si="18"/>
        <v>33.998542274052483</v>
      </c>
      <c r="AL36" s="212">
        <v>0</v>
      </c>
      <c r="AM36" s="25">
        <f t="shared" si="2"/>
        <v>0</v>
      </c>
      <c r="AN36" s="212">
        <v>0</v>
      </c>
      <c r="AO36" s="25">
        <f t="shared" si="3"/>
        <v>0</v>
      </c>
      <c r="AP36" s="212">
        <v>0</v>
      </c>
      <c r="AQ36" s="25">
        <f t="shared" si="4"/>
        <v>0</v>
      </c>
    </row>
    <row r="37" spans="2:43" ht="12" customHeight="1" x14ac:dyDescent="0.2">
      <c r="B37" s="1" t="str">
        <f>"ridge"&amp;"residential"&amp;C37</f>
        <v>ridgeresidentialRDGD26</v>
      </c>
      <c r="C37" s="58" t="s">
        <v>679</v>
      </c>
      <c r="D37" s="58" t="s">
        <v>95</v>
      </c>
      <c r="E37" s="11">
        <v>6.85</v>
      </c>
      <c r="F37" s="11">
        <v>6.85</v>
      </c>
      <c r="G37" s="11">
        <v>7.36</v>
      </c>
      <c r="H37" s="55"/>
      <c r="I37" s="14">
        <v>6.85</v>
      </c>
      <c r="J37" s="14">
        <v>6.85</v>
      </c>
      <c r="K37" s="14">
        <v>6.85</v>
      </c>
      <c r="L37" s="14">
        <v>6.85</v>
      </c>
      <c r="M37" s="14">
        <v>6.85</v>
      </c>
      <c r="N37" s="14">
        <v>6.85</v>
      </c>
      <c r="O37" s="14">
        <v>6.85</v>
      </c>
      <c r="P37" s="14">
        <v>6.85</v>
      </c>
      <c r="Q37" s="14">
        <v>6.85</v>
      </c>
      <c r="R37" s="14">
        <v>7.36</v>
      </c>
      <c r="S37" s="14">
        <v>7.36</v>
      </c>
      <c r="T37" s="14">
        <v>7.36</v>
      </c>
      <c r="U37" s="73">
        <f t="shared" si="0"/>
        <v>83.73</v>
      </c>
      <c r="W37" s="49">
        <f t="shared" si="5"/>
        <v>1</v>
      </c>
      <c r="X37" s="49">
        <f t="shared" si="6"/>
        <v>1</v>
      </c>
      <c r="Y37" s="49">
        <f t="shared" si="7"/>
        <v>1</v>
      </c>
      <c r="Z37" s="49">
        <f t="shared" si="8"/>
        <v>1</v>
      </c>
      <c r="AA37" s="49">
        <f t="shared" si="9"/>
        <v>1</v>
      </c>
      <c r="AB37" s="49">
        <f t="shared" si="10"/>
        <v>1</v>
      </c>
      <c r="AC37" s="49">
        <f t="shared" si="11"/>
        <v>1</v>
      </c>
      <c r="AD37" s="49">
        <f t="shared" si="12"/>
        <v>1</v>
      </c>
      <c r="AE37" s="49">
        <f t="shared" si="13"/>
        <v>1</v>
      </c>
      <c r="AF37" s="49">
        <f t="shared" si="14"/>
        <v>1</v>
      </c>
      <c r="AG37" s="49">
        <f t="shared" si="15"/>
        <v>1</v>
      </c>
      <c r="AH37" s="49">
        <f t="shared" si="16"/>
        <v>1</v>
      </c>
      <c r="AI37" s="47">
        <f t="shared" si="17"/>
        <v>1</v>
      </c>
      <c r="AJ37" s="134">
        <f t="shared" si="18"/>
        <v>12</v>
      </c>
      <c r="AL37" s="212">
        <v>0</v>
      </c>
      <c r="AM37" s="25">
        <f t="shared" si="2"/>
        <v>0</v>
      </c>
      <c r="AN37" s="212">
        <v>0</v>
      </c>
      <c r="AO37" s="25">
        <f t="shared" si="3"/>
        <v>0</v>
      </c>
      <c r="AP37" s="212">
        <v>0</v>
      </c>
      <c r="AQ37" s="25">
        <f t="shared" si="4"/>
        <v>0</v>
      </c>
    </row>
    <row r="38" spans="2:43" ht="12" customHeight="1" x14ac:dyDescent="0.2">
      <c r="B38" s="1" t="str">
        <f t="shared" ref="B38:B47" si="22">"ridge"&amp;"residential Extras"&amp;C38</f>
        <v>ridgeresidential ExtrasCRTIME1</v>
      </c>
      <c r="C38" s="58" t="s">
        <v>70</v>
      </c>
      <c r="D38" s="58" t="s">
        <v>102</v>
      </c>
      <c r="E38" s="11">
        <v>1.19</v>
      </c>
      <c r="F38" s="11">
        <v>1.19</v>
      </c>
      <c r="G38" s="11">
        <v>1.28</v>
      </c>
      <c r="H38" s="55"/>
      <c r="I38" s="14">
        <v>0</v>
      </c>
      <c r="J38" s="14">
        <v>0</v>
      </c>
      <c r="K38" s="14">
        <v>0</v>
      </c>
      <c r="L38" s="14">
        <v>0</v>
      </c>
      <c r="M38" s="14">
        <v>35.700000000000003</v>
      </c>
      <c r="N38" s="14">
        <v>0</v>
      </c>
      <c r="O38" s="14">
        <v>0</v>
      </c>
      <c r="P38" s="14">
        <v>0</v>
      </c>
      <c r="Q38" s="14">
        <v>0</v>
      </c>
      <c r="R38" s="14">
        <v>0</v>
      </c>
      <c r="S38" s="14">
        <v>0</v>
      </c>
      <c r="T38" s="14">
        <v>0</v>
      </c>
      <c r="U38" s="73">
        <f t="shared" si="0"/>
        <v>35.700000000000003</v>
      </c>
      <c r="W38" s="49">
        <f t="shared" si="5"/>
        <v>0</v>
      </c>
      <c r="X38" s="49">
        <f t="shared" si="6"/>
        <v>0</v>
      </c>
      <c r="Y38" s="49">
        <f t="shared" si="7"/>
        <v>0</v>
      </c>
      <c r="Z38" s="49">
        <f t="shared" si="8"/>
        <v>0</v>
      </c>
      <c r="AA38" s="49">
        <f t="shared" si="9"/>
        <v>30.000000000000004</v>
      </c>
      <c r="AB38" s="49">
        <f t="shared" si="10"/>
        <v>0</v>
      </c>
      <c r="AC38" s="49">
        <f t="shared" si="11"/>
        <v>0</v>
      </c>
      <c r="AD38" s="49">
        <f t="shared" si="12"/>
        <v>0</v>
      </c>
      <c r="AE38" s="49">
        <f t="shared" si="13"/>
        <v>0</v>
      </c>
      <c r="AF38" s="49">
        <f t="shared" si="14"/>
        <v>0</v>
      </c>
      <c r="AG38" s="49">
        <f t="shared" si="15"/>
        <v>0</v>
      </c>
      <c r="AH38" s="49">
        <f t="shared" si="16"/>
        <v>0</v>
      </c>
      <c r="AI38" s="47">
        <f t="shared" si="17"/>
        <v>2.5000000000000004</v>
      </c>
      <c r="AJ38" s="134">
        <f t="shared" si="18"/>
        <v>30.000000000000004</v>
      </c>
      <c r="AL38" s="212">
        <v>0</v>
      </c>
      <c r="AM38" s="25">
        <f t="shared" si="2"/>
        <v>0</v>
      </c>
      <c r="AN38" s="212">
        <v>0</v>
      </c>
      <c r="AO38" s="25">
        <f t="shared" si="3"/>
        <v>0</v>
      </c>
      <c r="AP38" s="212">
        <v>0</v>
      </c>
      <c r="AQ38" s="25">
        <f t="shared" si="4"/>
        <v>0</v>
      </c>
    </row>
    <row r="39" spans="2:43" ht="12" customHeight="1" x14ac:dyDescent="0.2">
      <c r="B39" s="1" t="str">
        <f t="shared" si="22"/>
        <v>ridgeresidential ExtrasVRTPLACE</v>
      </c>
      <c r="C39" s="58" t="s">
        <v>750</v>
      </c>
      <c r="D39" s="58" t="s">
        <v>775</v>
      </c>
      <c r="E39" s="11">
        <v>7.46</v>
      </c>
      <c r="F39" s="11">
        <v>7.46</v>
      </c>
      <c r="G39" s="11">
        <v>8.01</v>
      </c>
      <c r="H39" s="55"/>
      <c r="I39" s="14">
        <v>7.46</v>
      </c>
      <c r="J39" s="14">
        <v>0</v>
      </c>
      <c r="K39" s="14">
        <v>0</v>
      </c>
      <c r="L39" s="14">
        <v>0</v>
      </c>
      <c r="M39" s="14">
        <v>0</v>
      </c>
      <c r="N39" s="14">
        <v>0</v>
      </c>
      <c r="O39" s="14">
        <v>29.84</v>
      </c>
      <c r="P39" s="14">
        <v>7.46</v>
      </c>
      <c r="Q39" s="14">
        <v>0</v>
      </c>
      <c r="R39" s="14">
        <v>15.47</v>
      </c>
      <c r="S39" s="14">
        <v>0</v>
      </c>
      <c r="T39" s="14">
        <v>8.01</v>
      </c>
      <c r="U39" s="73">
        <f t="shared" si="0"/>
        <v>68.239999999999995</v>
      </c>
      <c r="W39" s="49">
        <f t="shared" si="5"/>
        <v>1</v>
      </c>
      <c r="X39" s="49">
        <f t="shared" si="6"/>
        <v>0</v>
      </c>
      <c r="Y39" s="49">
        <f t="shared" si="7"/>
        <v>0</v>
      </c>
      <c r="Z39" s="49">
        <f t="shared" si="8"/>
        <v>0</v>
      </c>
      <c r="AA39" s="49">
        <f t="shared" si="9"/>
        <v>0</v>
      </c>
      <c r="AB39" s="49">
        <f t="shared" si="10"/>
        <v>0</v>
      </c>
      <c r="AC39" s="49">
        <f t="shared" si="11"/>
        <v>4</v>
      </c>
      <c r="AD39" s="49">
        <f t="shared" si="12"/>
        <v>1</v>
      </c>
      <c r="AE39" s="49">
        <f t="shared" si="13"/>
        <v>0</v>
      </c>
      <c r="AF39" s="49">
        <f t="shared" si="14"/>
        <v>1.9313358302122348</v>
      </c>
      <c r="AG39" s="49">
        <f t="shared" si="15"/>
        <v>0</v>
      </c>
      <c r="AH39" s="49">
        <f t="shared" si="16"/>
        <v>1</v>
      </c>
      <c r="AI39" s="47">
        <f t="shared" si="17"/>
        <v>0.74427798585101945</v>
      </c>
      <c r="AJ39" s="134">
        <f t="shared" si="18"/>
        <v>8.9313358302122339</v>
      </c>
      <c r="AL39" s="212">
        <v>0</v>
      </c>
      <c r="AM39" s="25">
        <f t="shared" si="2"/>
        <v>0</v>
      </c>
      <c r="AN39" s="212">
        <v>0</v>
      </c>
      <c r="AO39" s="25">
        <f t="shared" si="3"/>
        <v>0</v>
      </c>
      <c r="AP39" s="212">
        <v>0</v>
      </c>
      <c r="AQ39" s="25">
        <f t="shared" si="4"/>
        <v>0</v>
      </c>
    </row>
    <row r="40" spans="2:43" ht="12" customHeight="1" x14ac:dyDescent="0.2">
      <c r="B40" s="1" t="str">
        <f t="shared" si="22"/>
        <v>ridgeresidential ExtrasTOTEPUR</v>
      </c>
      <c r="C40" s="58" t="s">
        <v>73</v>
      </c>
      <c r="D40" s="58" t="s">
        <v>105</v>
      </c>
      <c r="E40" s="11">
        <v>85.78</v>
      </c>
      <c r="F40" s="11">
        <v>85.78</v>
      </c>
      <c r="G40" s="11">
        <v>85.78</v>
      </c>
      <c r="H40" s="55"/>
      <c r="I40" s="14">
        <v>0</v>
      </c>
      <c r="J40" s="14">
        <v>52.35</v>
      </c>
      <c r="K40" s="14">
        <v>0</v>
      </c>
      <c r="L40" s="14">
        <v>0</v>
      </c>
      <c r="M40" s="14">
        <v>0</v>
      </c>
      <c r="N40" s="14">
        <v>0</v>
      </c>
      <c r="O40" s="14">
        <v>0</v>
      </c>
      <c r="P40" s="14">
        <v>0</v>
      </c>
      <c r="Q40" s="14">
        <v>0</v>
      </c>
      <c r="R40" s="14">
        <v>0</v>
      </c>
      <c r="S40" s="14">
        <v>0</v>
      </c>
      <c r="T40" s="14">
        <v>0</v>
      </c>
      <c r="U40" s="73">
        <f>SUM(I40:T40)</f>
        <v>52.35</v>
      </c>
      <c r="W40" s="49">
        <f t="shared" si="5"/>
        <v>0</v>
      </c>
      <c r="X40" s="49">
        <f t="shared" si="6"/>
        <v>0.61028211704359991</v>
      </c>
      <c r="Y40" s="49">
        <f t="shared" si="7"/>
        <v>0</v>
      </c>
      <c r="Z40" s="49">
        <f t="shared" si="8"/>
        <v>0</v>
      </c>
      <c r="AA40" s="49">
        <f t="shared" si="9"/>
        <v>0</v>
      </c>
      <c r="AB40" s="49">
        <f t="shared" si="10"/>
        <v>0</v>
      </c>
      <c r="AC40" s="49">
        <f t="shared" si="11"/>
        <v>0</v>
      </c>
      <c r="AD40" s="49">
        <f t="shared" si="12"/>
        <v>0</v>
      </c>
      <c r="AE40" s="49">
        <f t="shared" si="13"/>
        <v>0</v>
      </c>
      <c r="AF40" s="49">
        <f t="shared" si="14"/>
        <v>0</v>
      </c>
      <c r="AG40" s="49">
        <f t="shared" si="15"/>
        <v>0</v>
      </c>
      <c r="AH40" s="49">
        <f t="shared" si="16"/>
        <v>0</v>
      </c>
      <c r="AI40" s="47">
        <f>+IFERROR(AVERAGE(W40:AH40),0)</f>
        <v>5.0856843086966662E-2</v>
      </c>
      <c r="AJ40" s="134">
        <f>SUM(W40:AH40)</f>
        <v>0.61028211704359991</v>
      </c>
      <c r="AL40" s="212">
        <v>0</v>
      </c>
      <c r="AM40" s="25">
        <f t="shared" si="2"/>
        <v>0</v>
      </c>
      <c r="AN40" s="212">
        <v>0</v>
      </c>
      <c r="AO40" s="25">
        <f t="shared" si="3"/>
        <v>0</v>
      </c>
      <c r="AP40" s="212">
        <v>0</v>
      </c>
      <c r="AQ40" s="25">
        <f>+$AI40*AP40</f>
        <v>0</v>
      </c>
    </row>
    <row r="41" spans="2:43" ht="12" customHeight="1" x14ac:dyDescent="0.2">
      <c r="B41" s="1" t="str">
        <f t="shared" si="22"/>
        <v>ridgeresidential ExtrasWCTIRE/RIM</v>
      </c>
      <c r="C41" s="58" t="s">
        <v>400</v>
      </c>
      <c r="D41" s="58" t="s">
        <v>410</v>
      </c>
      <c r="E41" s="11">
        <v>12.27</v>
      </c>
      <c r="F41" s="11">
        <v>12.27</v>
      </c>
      <c r="G41" s="11">
        <v>13.18</v>
      </c>
      <c r="H41" s="55"/>
      <c r="I41" s="14">
        <v>0</v>
      </c>
      <c r="J41" s="14">
        <v>0</v>
      </c>
      <c r="K41" s="14">
        <v>0</v>
      </c>
      <c r="L41" s="14">
        <v>0</v>
      </c>
      <c r="M41" s="14">
        <v>0</v>
      </c>
      <c r="N41" s="14">
        <v>0</v>
      </c>
      <c r="O41" s="14">
        <v>0</v>
      </c>
      <c r="P41" s="14">
        <v>24.54</v>
      </c>
      <c r="Q41" s="14">
        <v>0</v>
      </c>
      <c r="R41" s="14">
        <v>0</v>
      </c>
      <c r="S41" s="14">
        <v>0</v>
      </c>
      <c r="T41" s="14">
        <v>0</v>
      </c>
      <c r="U41" s="73">
        <f t="shared" si="0"/>
        <v>24.54</v>
      </c>
      <c r="W41" s="49">
        <f t="shared" si="5"/>
        <v>0</v>
      </c>
      <c r="X41" s="49">
        <f t="shared" si="6"/>
        <v>0</v>
      </c>
      <c r="Y41" s="49">
        <f t="shared" si="7"/>
        <v>0</v>
      </c>
      <c r="Z41" s="49">
        <f t="shared" si="8"/>
        <v>0</v>
      </c>
      <c r="AA41" s="49">
        <f t="shared" si="9"/>
        <v>0</v>
      </c>
      <c r="AB41" s="49">
        <f t="shared" si="10"/>
        <v>0</v>
      </c>
      <c r="AC41" s="49">
        <f t="shared" si="11"/>
        <v>0</v>
      </c>
      <c r="AD41" s="49">
        <f t="shared" si="12"/>
        <v>2</v>
      </c>
      <c r="AE41" s="49">
        <f t="shared" si="13"/>
        <v>0</v>
      </c>
      <c r="AF41" s="49">
        <f t="shared" si="14"/>
        <v>0</v>
      </c>
      <c r="AG41" s="49">
        <f t="shared" si="15"/>
        <v>0</v>
      </c>
      <c r="AH41" s="49">
        <f t="shared" si="16"/>
        <v>0</v>
      </c>
      <c r="AI41" s="47">
        <f t="shared" si="17"/>
        <v>0.16666666666666666</v>
      </c>
      <c r="AJ41" s="134">
        <f t="shared" si="18"/>
        <v>2</v>
      </c>
      <c r="AL41" s="212">
        <v>0</v>
      </c>
      <c r="AM41" s="25">
        <f t="shared" si="2"/>
        <v>0</v>
      </c>
      <c r="AN41" s="212">
        <v>0</v>
      </c>
      <c r="AO41" s="25">
        <f t="shared" si="3"/>
        <v>0</v>
      </c>
      <c r="AP41" s="212">
        <v>0</v>
      </c>
      <c r="AQ41" s="25">
        <f t="shared" si="4"/>
        <v>0</v>
      </c>
    </row>
    <row r="42" spans="2:43" ht="12" customHeight="1" x14ac:dyDescent="0.2">
      <c r="B42" s="1" t="str">
        <f t="shared" si="22"/>
        <v>ridgeresidential ExtrasWBSOFA</v>
      </c>
      <c r="C42" s="58" t="s">
        <v>77</v>
      </c>
      <c r="D42" s="58" t="s">
        <v>109</v>
      </c>
      <c r="E42" s="11">
        <v>22.85</v>
      </c>
      <c r="F42" s="11">
        <v>22.85</v>
      </c>
      <c r="G42" s="11">
        <v>24.54</v>
      </c>
      <c r="H42" s="55"/>
      <c r="I42" s="14">
        <v>0</v>
      </c>
      <c r="J42" s="14">
        <v>182.8</v>
      </c>
      <c r="K42" s="14">
        <v>159.94999999999999</v>
      </c>
      <c r="L42" s="14">
        <v>45.7</v>
      </c>
      <c r="M42" s="14">
        <v>-45.7</v>
      </c>
      <c r="N42" s="14">
        <v>45.7</v>
      </c>
      <c r="O42" s="14">
        <v>137.1</v>
      </c>
      <c r="P42" s="14">
        <v>137.1</v>
      </c>
      <c r="Q42" s="14">
        <v>91.4</v>
      </c>
      <c r="R42" s="14">
        <v>73.62</v>
      </c>
      <c r="S42" s="14">
        <v>49.08</v>
      </c>
      <c r="T42" s="14">
        <v>49.08</v>
      </c>
      <c r="U42" s="73">
        <f t="shared" si="0"/>
        <v>925.83</v>
      </c>
      <c r="W42" s="49">
        <f t="shared" si="5"/>
        <v>0</v>
      </c>
      <c r="X42" s="49">
        <f t="shared" si="6"/>
        <v>8</v>
      </c>
      <c r="Y42" s="49">
        <f t="shared" si="7"/>
        <v>6.9999999999999991</v>
      </c>
      <c r="Z42" s="49">
        <f t="shared" si="8"/>
        <v>2</v>
      </c>
      <c r="AA42" s="49">
        <f t="shared" si="9"/>
        <v>-2</v>
      </c>
      <c r="AB42" s="49">
        <f t="shared" si="10"/>
        <v>2</v>
      </c>
      <c r="AC42" s="49">
        <f t="shared" si="11"/>
        <v>5.9999999999999991</v>
      </c>
      <c r="AD42" s="49">
        <f t="shared" si="12"/>
        <v>5.9999999999999991</v>
      </c>
      <c r="AE42" s="49">
        <f t="shared" si="13"/>
        <v>4</v>
      </c>
      <c r="AF42" s="49">
        <f t="shared" si="14"/>
        <v>3.0000000000000004</v>
      </c>
      <c r="AG42" s="49">
        <f t="shared" si="15"/>
        <v>2</v>
      </c>
      <c r="AH42" s="49">
        <f t="shared" si="16"/>
        <v>2</v>
      </c>
      <c r="AI42" s="47">
        <f t="shared" si="17"/>
        <v>3.3333333333333335</v>
      </c>
      <c r="AJ42" s="134">
        <f t="shared" si="18"/>
        <v>40</v>
      </c>
      <c r="AL42" s="212">
        <v>0</v>
      </c>
      <c r="AM42" s="25">
        <f t="shared" si="2"/>
        <v>0</v>
      </c>
      <c r="AN42" s="212">
        <v>0</v>
      </c>
      <c r="AO42" s="25">
        <f t="shared" si="3"/>
        <v>0</v>
      </c>
      <c r="AP42" s="212">
        <v>0</v>
      </c>
      <c r="AQ42" s="25">
        <f t="shared" si="4"/>
        <v>0</v>
      </c>
    </row>
    <row r="43" spans="2:43" ht="12" customHeight="1" x14ac:dyDescent="0.2">
      <c r="B43" s="1" t="str">
        <f t="shared" si="22"/>
        <v>ridgeresidential ExtrasWBSTOVE</v>
      </c>
      <c r="C43" s="58" t="s">
        <v>749</v>
      </c>
      <c r="D43" s="58" t="s">
        <v>774</v>
      </c>
      <c r="E43" s="11">
        <v>22.85</v>
      </c>
      <c r="F43" s="11">
        <v>22.85</v>
      </c>
      <c r="G43" s="11">
        <v>24.54</v>
      </c>
      <c r="H43" s="55"/>
      <c r="I43" s="14">
        <v>0</v>
      </c>
      <c r="J43" s="14">
        <v>0</v>
      </c>
      <c r="K43" s="14">
        <v>22.85</v>
      </c>
      <c r="L43" s="14">
        <v>0</v>
      </c>
      <c r="M43" s="14">
        <v>0</v>
      </c>
      <c r="N43" s="14">
        <v>0</v>
      </c>
      <c r="O43" s="14">
        <v>0</v>
      </c>
      <c r="P43" s="14">
        <v>0</v>
      </c>
      <c r="Q43" s="14">
        <v>0</v>
      </c>
      <c r="R43" s="14">
        <v>0</v>
      </c>
      <c r="S43" s="14">
        <v>24.54</v>
      </c>
      <c r="T43" s="14">
        <v>0</v>
      </c>
      <c r="U43" s="73">
        <f>SUM(I43:T43)</f>
        <v>47.39</v>
      </c>
      <c r="W43" s="49">
        <f t="shared" si="5"/>
        <v>0</v>
      </c>
      <c r="X43" s="49">
        <f t="shared" si="6"/>
        <v>0</v>
      </c>
      <c r="Y43" s="49">
        <f t="shared" si="7"/>
        <v>1</v>
      </c>
      <c r="Z43" s="49">
        <f t="shared" si="8"/>
        <v>0</v>
      </c>
      <c r="AA43" s="49">
        <f t="shared" si="9"/>
        <v>0</v>
      </c>
      <c r="AB43" s="49">
        <f t="shared" si="10"/>
        <v>0</v>
      </c>
      <c r="AC43" s="49">
        <f t="shared" si="11"/>
        <v>0</v>
      </c>
      <c r="AD43" s="49">
        <f t="shared" si="12"/>
        <v>0</v>
      </c>
      <c r="AE43" s="49">
        <f t="shared" si="13"/>
        <v>0</v>
      </c>
      <c r="AF43" s="49">
        <f t="shared" si="14"/>
        <v>0</v>
      </c>
      <c r="AG43" s="49">
        <f t="shared" si="15"/>
        <v>1</v>
      </c>
      <c r="AH43" s="49">
        <f t="shared" si="16"/>
        <v>0</v>
      </c>
      <c r="AI43" s="47">
        <f>+IFERROR(AVERAGE(W43:AH43),0)</f>
        <v>0.16666666666666666</v>
      </c>
      <c r="AJ43" s="134">
        <f>SUM(W43:AH43)</f>
        <v>2</v>
      </c>
      <c r="AL43" s="212">
        <v>0</v>
      </c>
      <c r="AM43" s="25">
        <f t="shared" si="2"/>
        <v>0</v>
      </c>
      <c r="AN43" s="212">
        <v>0</v>
      </c>
      <c r="AO43" s="25">
        <f t="shared" si="3"/>
        <v>0</v>
      </c>
      <c r="AP43" s="212">
        <v>0</v>
      </c>
      <c r="AQ43" s="25">
        <f>+$AI43*AP43</f>
        <v>0</v>
      </c>
    </row>
    <row r="44" spans="2:43" ht="12" customHeight="1" x14ac:dyDescent="0.2">
      <c r="B44" s="1" t="str">
        <f t="shared" si="22"/>
        <v>ridgeresidential ExtrasWBMATT</v>
      </c>
      <c r="C44" s="58" t="s">
        <v>78</v>
      </c>
      <c r="D44" s="58" t="s">
        <v>110</v>
      </c>
      <c r="E44" s="11">
        <v>22.85</v>
      </c>
      <c r="F44" s="11">
        <v>22.85</v>
      </c>
      <c r="G44" s="11">
        <v>24.54</v>
      </c>
      <c r="H44" s="55"/>
      <c r="I44" s="14">
        <v>91.4</v>
      </c>
      <c r="J44" s="14">
        <v>274.2</v>
      </c>
      <c r="K44" s="14">
        <v>137.1</v>
      </c>
      <c r="L44" s="14">
        <v>159.94999999999999</v>
      </c>
      <c r="M44" s="14">
        <v>342.75</v>
      </c>
      <c r="N44" s="14">
        <v>274.2</v>
      </c>
      <c r="O44" s="14">
        <v>91.4</v>
      </c>
      <c r="P44" s="14">
        <v>137.1</v>
      </c>
      <c r="Q44" s="14">
        <v>68.55</v>
      </c>
      <c r="R44" s="14">
        <v>147.24</v>
      </c>
      <c r="S44" s="14">
        <v>24.54</v>
      </c>
      <c r="T44" s="14">
        <v>220.86</v>
      </c>
      <c r="U44" s="73">
        <f t="shared" si="0"/>
        <v>1969.29</v>
      </c>
      <c r="W44" s="49">
        <f t="shared" si="5"/>
        <v>4</v>
      </c>
      <c r="X44" s="49">
        <f t="shared" si="6"/>
        <v>11.999999999999998</v>
      </c>
      <c r="Y44" s="49">
        <f t="shared" si="7"/>
        <v>5.9999999999999991</v>
      </c>
      <c r="Z44" s="49">
        <f t="shared" si="8"/>
        <v>6.9999999999999991</v>
      </c>
      <c r="AA44" s="49">
        <f t="shared" si="9"/>
        <v>14.999999999999998</v>
      </c>
      <c r="AB44" s="49">
        <f t="shared" si="10"/>
        <v>11.999999999999998</v>
      </c>
      <c r="AC44" s="49">
        <f t="shared" si="11"/>
        <v>4</v>
      </c>
      <c r="AD44" s="49">
        <f t="shared" si="12"/>
        <v>5.9999999999999991</v>
      </c>
      <c r="AE44" s="49">
        <f t="shared" si="13"/>
        <v>2.9999999999999996</v>
      </c>
      <c r="AF44" s="49">
        <f t="shared" si="14"/>
        <v>6.0000000000000009</v>
      </c>
      <c r="AG44" s="49">
        <f t="shared" si="15"/>
        <v>1</v>
      </c>
      <c r="AH44" s="49">
        <f t="shared" si="16"/>
        <v>9</v>
      </c>
      <c r="AI44" s="47">
        <f t="shared" si="17"/>
        <v>7.0833333333333321</v>
      </c>
      <c r="AJ44" s="134">
        <f t="shared" si="18"/>
        <v>84.999999999999986</v>
      </c>
      <c r="AL44" s="212">
        <v>0</v>
      </c>
      <c r="AM44" s="25">
        <f t="shared" si="2"/>
        <v>0</v>
      </c>
      <c r="AN44" s="212">
        <v>0</v>
      </c>
      <c r="AO44" s="25">
        <f t="shared" si="3"/>
        <v>0</v>
      </c>
      <c r="AP44" s="212">
        <v>0</v>
      </c>
      <c r="AQ44" s="25">
        <f t="shared" si="4"/>
        <v>0</v>
      </c>
    </row>
    <row r="45" spans="2:43" ht="12" customHeight="1" x14ac:dyDescent="0.2">
      <c r="B45" s="1" t="str">
        <f t="shared" si="22"/>
        <v>ridgeresidential ExtrasWBWASHER</v>
      </c>
      <c r="C45" s="58" t="s">
        <v>402</v>
      </c>
      <c r="D45" s="58" t="s">
        <v>412</v>
      </c>
      <c r="E45" s="11">
        <v>22.85</v>
      </c>
      <c r="F45" s="11">
        <v>22.85</v>
      </c>
      <c r="G45" s="11">
        <v>24.54</v>
      </c>
      <c r="H45" s="55"/>
      <c r="I45" s="14">
        <v>0</v>
      </c>
      <c r="J45" s="14">
        <v>45.7</v>
      </c>
      <c r="K45" s="14">
        <v>22.85</v>
      </c>
      <c r="L45" s="14">
        <v>0</v>
      </c>
      <c r="M45" s="14">
        <v>22.85</v>
      </c>
      <c r="N45" s="14">
        <v>0</v>
      </c>
      <c r="O45" s="14">
        <v>0</v>
      </c>
      <c r="P45" s="14">
        <v>0</v>
      </c>
      <c r="Q45" s="14">
        <v>0</v>
      </c>
      <c r="R45" s="14">
        <v>0</v>
      </c>
      <c r="S45" s="14">
        <v>0</v>
      </c>
      <c r="T45" s="14">
        <v>0</v>
      </c>
      <c r="U45" s="73">
        <f t="shared" si="0"/>
        <v>91.4</v>
      </c>
      <c r="W45" s="49">
        <f t="shared" si="5"/>
        <v>0</v>
      </c>
      <c r="X45" s="49">
        <f t="shared" si="6"/>
        <v>2</v>
      </c>
      <c r="Y45" s="49">
        <f t="shared" si="7"/>
        <v>1</v>
      </c>
      <c r="Z45" s="49">
        <f t="shared" si="8"/>
        <v>0</v>
      </c>
      <c r="AA45" s="49">
        <f t="shared" si="9"/>
        <v>1</v>
      </c>
      <c r="AB45" s="49">
        <f t="shared" si="10"/>
        <v>0</v>
      </c>
      <c r="AC45" s="49">
        <f t="shared" si="11"/>
        <v>0</v>
      </c>
      <c r="AD45" s="49">
        <f t="shared" si="12"/>
        <v>0</v>
      </c>
      <c r="AE45" s="49">
        <f t="shared" si="13"/>
        <v>0</v>
      </c>
      <c r="AF45" s="49">
        <f t="shared" si="14"/>
        <v>0</v>
      </c>
      <c r="AG45" s="49">
        <f t="shared" si="15"/>
        <v>0</v>
      </c>
      <c r="AH45" s="49">
        <f t="shared" si="16"/>
        <v>0</v>
      </c>
      <c r="AI45" s="47">
        <f t="shared" si="17"/>
        <v>0.33333333333333331</v>
      </c>
      <c r="AJ45" s="134">
        <f t="shared" si="18"/>
        <v>4</v>
      </c>
      <c r="AL45" s="212">
        <v>0</v>
      </c>
      <c r="AM45" s="25">
        <f t="shared" si="2"/>
        <v>0</v>
      </c>
      <c r="AN45" s="212">
        <v>0</v>
      </c>
      <c r="AO45" s="25">
        <f t="shared" si="3"/>
        <v>0</v>
      </c>
      <c r="AP45" s="212">
        <v>0</v>
      </c>
      <c r="AQ45" s="25">
        <f t="shared" si="4"/>
        <v>0</v>
      </c>
    </row>
    <row r="46" spans="2:43" ht="12" customHeight="1" x14ac:dyDescent="0.2">
      <c r="B46" s="1" t="str">
        <f t="shared" si="22"/>
        <v>ridgeresidential ExtrasWBWTRHTR</v>
      </c>
      <c r="C46" s="58" t="s">
        <v>403</v>
      </c>
      <c r="D46" s="58" t="s">
        <v>413</v>
      </c>
      <c r="E46" s="11">
        <v>22.85</v>
      </c>
      <c r="F46" s="11">
        <v>22.85</v>
      </c>
      <c r="G46" s="11">
        <v>24.54</v>
      </c>
      <c r="H46" s="55"/>
      <c r="I46" s="14">
        <v>0</v>
      </c>
      <c r="J46" s="14">
        <v>0</v>
      </c>
      <c r="K46" s="14">
        <v>0</v>
      </c>
      <c r="L46" s="14">
        <v>0</v>
      </c>
      <c r="M46" s="14">
        <v>0</v>
      </c>
      <c r="N46" s="14">
        <v>0</v>
      </c>
      <c r="O46" s="14">
        <v>0</v>
      </c>
      <c r="P46" s="14">
        <v>0</v>
      </c>
      <c r="Q46" s="14">
        <v>0</v>
      </c>
      <c r="R46" s="14">
        <v>0</v>
      </c>
      <c r="S46" s="14">
        <v>0</v>
      </c>
      <c r="T46" s="14">
        <v>0</v>
      </c>
      <c r="U46" s="73">
        <f t="shared" si="0"/>
        <v>0</v>
      </c>
      <c r="W46" s="49">
        <f t="shared" si="5"/>
        <v>0</v>
      </c>
      <c r="X46" s="49">
        <f t="shared" si="6"/>
        <v>0</v>
      </c>
      <c r="Y46" s="49">
        <f t="shared" si="7"/>
        <v>0</v>
      </c>
      <c r="Z46" s="49">
        <f t="shared" si="8"/>
        <v>0</v>
      </c>
      <c r="AA46" s="49">
        <f t="shared" si="9"/>
        <v>0</v>
      </c>
      <c r="AB46" s="49">
        <f t="shared" si="10"/>
        <v>0</v>
      </c>
      <c r="AC46" s="49">
        <f t="shared" si="11"/>
        <v>0</v>
      </c>
      <c r="AD46" s="49">
        <f t="shared" si="12"/>
        <v>0</v>
      </c>
      <c r="AE46" s="49">
        <f t="shared" si="13"/>
        <v>0</v>
      </c>
      <c r="AF46" s="49">
        <f t="shared" si="14"/>
        <v>0</v>
      </c>
      <c r="AG46" s="49">
        <f t="shared" si="15"/>
        <v>0</v>
      </c>
      <c r="AH46" s="49">
        <f t="shared" si="16"/>
        <v>0</v>
      </c>
      <c r="AI46" s="47">
        <f t="shared" si="17"/>
        <v>0</v>
      </c>
      <c r="AJ46" s="134">
        <f t="shared" si="18"/>
        <v>0</v>
      </c>
      <c r="AL46" s="212">
        <v>0</v>
      </c>
      <c r="AM46" s="25">
        <f t="shared" si="2"/>
        <v>0</v>
      </c>
      <c r="AN46" s="212">
        <v>0</v>
      </c>
      <c r="AO46" s="25">
        <f t="shared" si="3"/>
        <v>0</v>
      </c>
      <c r="AP46" s="212">
        <v>0</v>
      </c>
      <c r="AQ46" s="25">
        <f t="shared" si="4"/>
        <v>0</v>
      </c>
    </row>
    <row r="47" spans="2:43" ht="12" customHeight="1" x14ac:dyDescent="0.2">
      <c r="B47" s="1" t="str">
        <f t="shared" si="22"/>
        <v>ridgeresidential ExtrasWBDRYER</v>
      </c>
      <c r="C47" s="58" t="s">
        <v>396</v>
      </c>
      <c r="D47" s="58" t="s">
        <v>406</v>
      </c>
      <c r="E47" s="11">
        <v>22.85</v>
      </c>
      <c r="F47" s="11">
        <v>22.85</v>
      </c>
      <c r="G47" s="11">
        <v>24.54</v>
      </c>
      <c r="H47" s="55"/>
      <c r="I47" s="14">
        <v>0</v>
      </c>
      <c r="J47" s="14">
        <v>0</v>
      </c>
      <c r="K47" s="14">
        <v>0</v>
      </c>
      <c r="L47" s="14">
        <v>0</v>
      </c>
      <c r="M47" s="14">
        <v>0</v>
      </c>
      <c r="N47" s="14">
        <v>0</v>
      </c>
      <c r="O47" s="14">
        <v>0</v>
      </c>
      <c r="P47" s="14">
        <v>0</v>
      </c>
      <c r="Q47" s="14">
        <v>0</v>
      </c>
      <c r="R47" s="14">
        <v>24.54</v>
      </c>
      <c r="S47" s="14">
        <v>0</v>
      </c>
      <c r="T47" s="14">
        <v>0</v>
      </c>
      <c r="U47" s="73">
        <f t="shared" si="0"/>
        <v>24.54</v>
      </c>
      <c r="W47" s="49">
        <f t="shared" si="5"/>
        <v>0</v>
      </c>
      <c r="X47" s="49">
        <f t="shared" si="6"/>
        <v>0</v>
      </c>
      <c r="Y47" s="49">
        <f t="shared" si="7"/>
        <v>0</v>
      </c>
      <c r="Z47" s="49">
        <f t="shared" si="8"/>
        <v>0</v>
      </c>
      <c r="AA47" s="49">
        <f t="shared" si="9"/>
        <v>0</v>
      </c>
      <c r="AB47" s="49">
        <f t="shared" si="10"/>
        <v>0</v>
      </c>
      <c r="AC47" s="49">
        <f t="shared" si="11"/>
        <v>0</v>
      </c>
      <c r="AD47" s="49">
        <f t="shared" si="12"/>
        <v>0</v>
      </c>
      <c r="AE47" s="49">
        <f t="shared" si="13"/>
        <v>0</v>
      </c>
      <c r="AF47" s="49">
        <f t="shared" si="14"/>
        <v>1</v>
      </c>
      <c r="AG47" s="49">
        <f t="shared" si="15"/>
        <v>0</v>
      </c>
      <c r="AH47" s="49">
        <f t="shared" si="16"/>
        <v>0</v>
      </c>
      <c r="AI47" s="47">
        <f t="shared" si="17"/>
        <v>8.3333333333333329E-2</v>
      </c>
      <c r="AJ47" s="134">
        <f t="shared" si="18"/>
        <v>1</v>
      </c>
      <c r="AL47" s="212">
        <v>0</v>
      </c>
      <c r="AM47" s="25">
        <f t="shared" si="2"/>
        <v>0</v>
      </c>
      <c r="AN47" s="212">
        <v>0</v>
      </c>
      <c r="AO47" s="25">
        <f t="shared" si="3"/>
        <v>0</v>
      </c>
      <c r="AP47" s="212">
        <v>0</v>
      </c>
      <c r="AQ47" s="25">
        <f t="shared" si="4"/>
        <v>0</v>
      </c>
    </row>
    <row r="48" spans="2:43" ht="12" customHeight="1" x14ac:dyDescent="0.2">
      <c r="B48" s="1" t="str">
        <f>"ridge"&amp;"accounting"&amp;C48</f>
        <v>ridgeaccountingRETCKC</v>
      </c>
      <c r="C48" s="58" t="s">
        <v>1015</v>
      </c>
      <c r="D48" s="58" t="s">
        <v>1016</v>
      </c>
      <c r="E48" s="11">
        <v>0</v>
      </c>
      <c r="F48" s="11">
        <v>0</v>
      </c>
      <c r="G48" s="11">
        <v>0</v>
      </c>
      <c r="H48" s="55"/>
      <c r="I48" s="14">
        <v>0</v>
      </c>
      <c r="J48" s="14">
        <v>0</v>
      </c>
      <c r="K48" s="14">
        <v>0</v>
      </c>
      <c r="L48" s="14">
        <v>0</v>
      </c>
      <c r="M48" s="14">
        <v>0</v>
      </c>
      <c r="N48" s="14">
        <v>0</v>
      </c>
      <c r="O48" s="14">
        <v>0</v>
      </c>
      <c r="P48" s="14">
        <v>0</v>
      </c>
      <c r="Q48" s="14">
        <v>0</v>
      </c>
      <c r="R48" s="14">
        <v>25</v>
      </c>
      <c r="S48" s="14">
        <v>0</v>
      </c>
      <c r="T48" s="14">
        <v>0</v>
      </c>
      <c r="U48" s="73">
        <f>SUM(I48:T48)</f>
        <v>25</v>
      </c>
      <c r="W48" s="48">
        <f t="shared" si="5"/>
        <v>0</v>
      </c>
      <c r="X48" s="48">
        <f t="shared" si="6"/>
        <v>0</v>
      </c>
      <c r="Y48" s="48">
        <f t="shared" si="7"/>
        <v>0</v>
      </c>
      <c r="Z48" s="48">
        <f t="shared" si="8"/>
        <v>0</v>
      </c>
      <c r="AA48" s="48">
        <f t="shared" si="9"/>
        <v>0</v>
      </c>
      <c r="AB48" s="48">
        <f t="shared" si="10"/>
        <v>0</v>
      </c>
      <c r="AC48" s="48">
        <f t="shared" si="11"/>
        <v>0</v>
      </c>
      <c r="AD48" s="48">
        <f t="shared" si="12"/>
        <v>0</v>
      </c>
      <c r="AE48" s="48">
        <f t="shared" si="13"/>
        <v>0</v>
      </c>
      <c r="AF48" s="48">
        <f t="shared" si="14"/>
        <v>0</v>
      </c>
      <c r="AG48" s="48">
        <f t="shared" si="15"/>
        <v>0</v>
      </c>
      <c r="AH48" s="48">
        <f t="shared" si="16"/>
        <v>0</v>
      </c>
    </row>
    <row r="49" spans="2:44" ht="12" customHeight="1" x14ac:dyDescent="0.2">
      <c r="B49" s="1" t="str">
        <f>"ridge"&amp;"residential Extras"&amp;C49</f>
        <v>ridgeresidential ExtrasWBTIME</v>
      </c>
      <c r="C49" s="58" t="s">
        <v>72</v>
      </c>
      <c r="D49" s="58" t="s">
        <v>104</v>
      </c>
      <c r="E49" s="11">
        <v>1.19</v>
      </c>
      <c r="F49" s="11">
        <v>1.19</v>
      </c>
      <c r="G49" s="11">
        <v>1.28</v>
      </c>
      <c r="H49" s="55"/>
      <c r="I49" s="14">
        <v>0</v>
      </c>
      <c r="J49" s="14">
        <v>71.400000000000006</v>
      </c>
      <c r="K49" s="14">
        <v>71.400000000000006</v>
      </c>
      <c r="L49" s="14">
        <v>35.700000000000003</v>
      </c>
      <c r="M49" s="14">
        <v>71.400000000000006</v>
      </c>
      <c r="N49" s="14">
        <v>71.400000000000006</v>
      </c>
      <c r="O49" s="14">
        <v>0</v>
      </c>
      <c r="P49" s="14">
        <v>0</v>
      </c>
      <c r="Q49" s="14">
        <v>0</v>
      </c>
      <c r="R49" s="14">
        <v>345.6</v>
      </c>
      <c r="S49" s="14">
        <v>345.6</v>
      </c>
      <c r="T49" s="14">
        <v>268.8</v>
      </c>
      <c r="U49" s="73">
        <f t="shared" si="0"/>
        <v>1281.3000000000002</v>
      </c>
      <c r="W49" s="49">
        <f t="shared" si="5"/>
        <v>0</v>
      </c>
      <c r="X49" s="49">
        <f t="shared" si="6"/>
        <v>60.000000000000007</v>
      </c>
      <c r="Y49" s="49">
        <f t="shared" si="7"/>
        <v>60.000000000000007</v>
      </c>
      <c r="Z49" s="49">
        <f t="shared" si="8"/>
        <v>30.000000000000004</v>
      </c>
      <c r="AA49" s="49">
        <f t="shared" si="9"/>
        <v>60.000000000000007</v>
      </c>
      <c r="AB49" s="49">
        <f t="shared" si="10"/>
        <v>60.000000000000007</v>
      </c>
      <c r="AC49" s="49">
        <f t="shared" si="11"/>
        <v>0</v>
      </c>
      <c r="AD49" s="49">
        <f t="shared" si="12"/>
        <v>0</v>
      </c>
      <c r="AE49" s="49">
        <f t="shared" si="13"/>
        <v>0</v>
      </c>
      <c r="AF49" s="49">
        <f t="shared" si="14"/>
        <v>270</v>
      </c>
      <c r="AG49" s="49">
        <f t="shared" si="15"/>
        <v>270</v>
      </c>
      <c r="AH49" s="49">
        <f t="shared" si="16"/>
        <v>210</v>
      </c>
      <c r="AI49" s="47">
        <f t="shared" si="17"/>
        <v>85</v>
      </c>
      <c r="AJ49" s="134">
        <f t="shared" si="18"/>
        <v>1020</v>
      </c>
      <c r="AL49" s="212">
        <v>0</v>
      </c>
      <c r="AM49" s="25">
        <f>+$AI49*AL49</f>
        <v>0</v>
      </c>
      <c r="AN49" s="212">
        <v>0</v>
      </c>
      <c r="AO49" s="25">
        <f>+$AI49*AN49</f>
        <v>0</v>
      </c>
      <c r="AP49" s="212">
        <v>0</v>
      </c>
      <c r="AQ49" s="25">
        <f t="shared" si="4"/>
        <v>0</v>
      </c>
    </row>
    <row r="50" spans="2:44" ht="12" customHeight="1" x14ac:dyDescent="0.2">
      <c r="E50" s="11"/>
      <c r="F50" s="11"/>
      <c r="G50" s="11"/>
      <c r="H50" s="55"/>
      <c r="I50" s="46"/>
      <c r="J50" s="49" t="str">
        <f>IF(H50="","",(#REF!/H50)+(#REF!/#REF!))</f>
        <v/>
      </c>
      <c r="K50" s="49" t="str">
        <f>IF(H50="","",J50/12)</f>
        <v/>
      </c>
      <c r="L50" s="46"/>
      <c r="M50" s="73"/>
      <c r="N50" s="46"/>
      <c r="U50" s="73"/>
      <c r="W50" s="48"/>
      <c r="X50" s="48"/>
      <c r="Y50" s="48"/>
      <c r="Z50" s="48"/>
      <c r="AA50" s="48"/>
      <c r="AB50" s="48"/>
      <c r="AC50" s="48"/>
      <c r="AD50" s="48"/>
      <c r="AE50" s="48"/>
      <c r="AF50" s="48"/>
      <c r="AG50" s="48"/>
      <c r="AH50" s="48"/>
      <c r="AI50" s="45"/>
      <c r="AL50" s="212">
        <v>0</v>
      </c>
      <c r="AM50" s="25">
        <f>+$AI50*AL50</f>
        <v>0</v>
      </c>
      <c r="AN50" s="212">
        <v>0</v>
      </c>
      <c r="AO50" s="25">
        <f>+$AI50*AN50</f>
        <v>0</v>
      </c>
      <c r="AP50" s="212">
        <v>0</v>
      </c>
      <c r="AQ50" s="25">
        <f t="shared" si="4"/>
        <v>0</v>
      </c>
    </row>
    <row r="51" spans="2:44" ht="12" customHeight="1" x14ac:dyDescent="0.2">
      <c r="D51" s="52" t="s">
        <v>4</v>
      </c>
      <c r="E51" s="11"/>
      <c r="F51" s="11"/>
      <c r="G51" s="11"/>
      <c r="H51" s="55"/>
      <c r="I51" s="74">
        <f t="shared" ref="I51:U51" si="23">SUM(I11:I50)</f>
        <v>111139.39</v>
      </c>
      <c r="J51" s="74">
        <f t="shared" si="23"/>
        <v>114373.23999999999</v>
      </c>
      <c r="K51" s="74">
        <f t="shared" si="23"/>
        <v>115105.40000000002</v>
      </c>
      <c r="L51" s="74">
        <f t="shared" si="23"/>
        <v>115304.04999999999</v>
      </c>
      <c r="M51" s="74">
        <f t="shared" si="23"/>
        <v>115775.26000000001</v>
      </c>
      <c r="N51" s="74">
        <f t="shared" si="23"/>
        <v>116792.54999999999</v>
      </c>
      <c r="O51" s="74">
        <f t="shared" si="23"/>
        <v>116644.07999999999</v>
      </c>
      <c r="P51" s="74">
        <f t="shared" si="23"/>
        <v>117456.60000000002</v>
      </c>
      <c r="Q51" s="74">
        <f t="shared" si="23"/>
        <v>119270.12000000001</v>
      </c>
      <c r="R51" s="74">
        <f t="shared" si="23"/>
        <v>128427.92000000003</v>
      </c>
      <c r="S51" s="74">
        <f t="shared" si="23"/>
        <v>126844.24</v>
      </c>
      <c r="T51" s="74">
        <f t="shared" si="23"/>
        <v>128560.10000000002</v>
      </c>
      <c r="U51" s="74">
        <f t="shared" si="23"/>
        <v>1425692.9499999997</v>
      </c>
      <c r="W51" s="188">
        <f t="shared" ref="W51:AI51" si="24">SUM(W11:W26)</f>
        <v>4740.6064146527042</v>
      </c>
      <c r="X51" s="188">
        <f t="shared" si="24"/>
        <v>4797.282384578697</v>
      </c>
      <c r="Y51" s="188">
        <f t="shared" si="24"/>
        <v>4817.7554621328154</v>
      </c>
      <c r="Z51" s="188">
        <f t="shared" si="24"/>
        <v>4856.4019682600047</v>
      </c>
      <c r="AA51" s="188">
        <f t="shared" si="24"/>
        <v>4884.8312403229784</v>
      </c>
      <c r="AB51" s="188">
        <f t="shared" si="24"/>
        <v>4895.1004536315168</v>
      </c>
      <c r="AC51" s="188">
        <f t="shared" si="24"/>
        <v>4918.7608380150587</v>
      </c>
      <c r="AD51" s="188">
        <f t="shared" si="24"/>
        <v>4931.2014919634548</v>
      </c>
      <c r="AE51" s="188">
        <f t="shared" si="24"/>
        <v>4952.6830264515884</v>
      </c>
      <c r="AF51" s="188">
        <f t="shared" si="24"/>
        <v>4963.0543574476796</v>
      </c>
      <c r="AG51" s="188">
        <f t="shared" si="24"/>
        <v>4963.8418217831222</v>
      </c>
      <c r="AH51" s="188">
        <f t="shared" si="24"/>
        <v>5005.0232825695157</v>
      </c>
      <c r="AI51" s="188">
        <f t="shared" si="24"/>
        <v>4893.8785618174288</v>
      </c>
      <c r="AJ51" s="188">
        <f>SUM(AJ11:AJ27,AJ31,AJ32,AJ33)</f>
        <v>66361.061561732597</v>
      </c>
      <c r="AM51" s="189">
        <f>SUM(AM11:AM49)</f>
        <v>4893.8785618174288</v>
      </c>
      <c r="AO51" s="189">
        <f>SUM(AO11:AO49)</f>
        <v>0</v>
      </c>
      <c r="AR51" s="189">
        <f>SUM(AR11:AR49)</f>
        <v>0</v>
      </c>
    </row>
    <row r="52" spans="2:44" ht="12" customHeight="1" x14ac:dyDescent="0.2">
      <c r="E52" s="11"/>
      <c r="F52" s="11"/>
      <c r="G52" s="11"/>
      <c r="H52" s="55"/>
      <c r="I52" s="46"/>
      <c r="J52" s="49" t="str">
        <f>IF(H52="","",(#REF!/H52)+(#REF!/#REF!))</f>
        <v/>
      </c>
      <c r="K52" s="49" t="str">
        <f>IF(H52="","",J52/12)</f>
        <v/>
      </c>
      <c r="L52" s="46"/>
      <c r="M52" s="73"/>
      <c r="N52" s="46"/>
      <c r="U52" s="73"/>
      <c r="W52" s="48"/>
      <c r="X52" s="48"/>
      <c r="Y52" s="48"/>
      <c r="Z52" s="48"/>
      <c r="AA52" s="48"/>
      <c r="AB52" s="48"/>
      <c r="AC52" s="48"/>
      <c r="AD52" s="48"/>
      <c r="AE52" s="48"/>
      <c r="AF52" s="48"/>
      <c r="AG52" s="48"/>
      <c r="AH52" s="48"/>
      <c r="AI52" s="45"/>
    </row>
    <row r="53" spans="2:44" ht="12" customHeight="1" x14ac:dyDescent="0.2">
      <c r="C53" s="62" t="s">
        <v>5</v>
      </c>
      <c r="D53" s="62" t="s">
        <v>5</v>
      </c>
      <c r="E53" s="11"/>
      <c r="F53" s="11"/>
      <c r="G53" s="11"/>
      <c r="H53" s="55"/>
      <c r="I53" s="46"/>
      <c r="J53" s="49" t="str">
        <f>IF(H53="","",(#REF!/H53)+(#REF!/#REF!))</f>
        <v/>
      </c>
      <c r="K53" s="49" t="str">
        <f>IF(H53="","",J53/12)</f>
        <v/>
      </c>
    </row>
    <row r="54" spans="2:44" s="253" customFormat="1" ht="12" customHeight="1" x14ac:dyDescent="0.2">
      <c r="B54" s="241" t="str">
        <f>"ridge"&amp;"residential"&amp;C54</f>
        <v>ridgeresidentialRRREC</v>
      </c>
      <c r="C54" s="232" t="s">
        <v>682</v>
      </c>
      <c r="D54" s="232" t="s">
        <v>683</v>
      </c>
      <c r="E54" s="238">
        <v>4.4000000000000004</v>
      </c>
      <c r="F54" s="238">
        <v>4.4000000000000004</v>
      </c>
      <c r="G54" s="238">
        <v>4.7300000000000004</v>
      </c>
      <c r="H54" s="261"/>
      <c r="I54" s="243">
        <v>20035.400000000001</v>
      </c>
      <c r="J54" s="243">
        <v>20314.8</v>
      </c>
      <c r="K54" s="243">
        <v>20426.600000000002</v>
      </c>
      <c r="L54" s="243">
        <v>20555.699999999997</v>
      </c>
      <c r="M54" s="243">
        <v>20656.719999999998</v>
      </c>
      <c r="N54" s="243">
        <v>20673.580000000002</v>
      </c>
      <c r="O54" s="243">
        <v>20791.099999999999</v>
      </c>
      <c r="P54" s="243">
        <v>20874.7</v>
      </c>
      <c r="Q54" s="243">
        <v>20977</v>
      </c>
      <c r="R54" s="243">
        <v>22561.649999999998</v>
      </c>
      <c r="S54" s="243">
        <v>22569.34</v>
      </c>
      <c r="T54" s="243">
        <v>22673.55</v>
      </c>
      <c r="U54" s="263">
        <f>SUM(I54:T54)</f>
        <v>253110.13999999998</v>
      </c>
      <c r="W54" s="264">
        <f t="shared" ref="W54:W62" si="25">IFERROR(I54/$E54,0)</f>
        <v>4553.5</v>
      </c>
      <c r="X54" s="264">
        <f t="shared" ref="X54:X62" si="26">IFERROR(J54/$E54,0)</f>
        <v>4616.9999999999991</v>
      </c>
      <c r="Y54" s="264">
        <f t="shared" ref="Y54:Y62" si="27">IFERROR(K54/$E54,0)</f>
        <v>4642.409090909091</v>
      </c>
      <c r="Z54" s="264">
        <f t="shared" ref="Z54:Z62" si="28">IFERROR(L54/$F54,0)</f>
        <v>4671.7499999999991</v>
      </c>
      <c r="AA54" s="264">
        <f t="shared" ref="AA54:AA62" si="29">IFERROR(M54/$F54,0)</f>
        <v>4694.7090909090903</v>
      </c>
      <c r="AB54" s="264">
        <f t="shared" ref="AB54:AB62" si="30">IFERROR(N54/$F54,0)</f>
        <v>4698.5409090909088</v>
      </c>
      <c r="AC54" s="264">
        <f t="shared" ref="AC54:AC62" si="31">IFERROR(O54/$F54,0)</f>
        <v>4725.2499999999991</v>
      </c>
      <c r="AD54" s="264">
        <f t="shared" ref="AD54:AD62" si="32">IFERROR(P54/$F54,0)</f>
        <v>4744.25</v>
      </c>
      <c r="AE54" s="264">
        <f t="shared" ref="AE54:AE62" si="33">IFERROR(Q54/$F54,0)</f>
        <v>4767.5</v>
      </c>
      <c r="AF54" s="264">
        <f t="shared" ref="AF54:AF62" si="34">IFERROR(R54/$G54,0)</f>
        <v>4769.9048625792802</v>
      </c>
      <c r="AG54" s="264">
        <f t="shared" ref="AG54:AG62" si="35">IFERROR(S54/$G54,0)</f>
        <v>4771.5306553911205</v>
      </c>
      <c r="AH54" s="264">
        <f t="shared" ref="AH54:AH62" si="36">IFERROR(T54/$G54,0)</f>
        <v>4793.5623678646925</v>
      </c>
      <c r="AI54" s="265">
        <f t="shared" ref="AI54:AI62" si="37">+IFERROR(AVERAGE(W54:AH54),0)</f>
        <v>4704.1589147286822</v>
      </c>
      <c r="AJ54" s="266">
        <f t="shared" ref="AJ54:AJ62" si="38">SUM(W54:AH54)</f>
        <v>56449.906976744183</v>
      </c>
      <c r="AL54" s="241">
        <v>1</v>
      </c>
      <c r="AM54" s="240">
        <f>+$AI54*AL54</f>
        <v>4704.1589147286822</v>
      </c>
      <c r="AN54" s="241">
        <v>0</v>
      </c>
      <c r="AO54" s="240">
        <f>+$AI54*AN54</f>
        <v>0</v>
      </c>
      <c r="AP54" s="241">
        <v>0</v>
      </c>
      <c r="AQ54" s="240">
        <f>+$AI54*AP54</f>
        <v>0</v>
      </c>
    </row>
    <row r="55" spans="2:44" s="253" customFormat="1" ht="12" customHeight="1" x14ac:dyDescent="0.2">
      <c r="B55" s="241" t="str">
        <f>"ridge"&amp;"multifamily"&amp;C55</f>
        <v>ridgemultifamilyCMFREC</v>
      </c>
      <c r="C55" s="232" t="s">
        <v>434</v>
      </c>
      <c r="D55" s="232" t="s">
        <v>435</v>
      </c>
      <c r="E55" s="238">
        <v>2.72</v>
      </c>
      <c r="F55" s="238">
        <v>2.72</v>
      </c>
      <c r="G55" s="238">
        <v>2.92</v>
      </c>
      <c r="H55" s="261"/>
      <c r="I55" s="243">
        <v>1346.4</v>
      </c>
      <c r="J55" s="243">
        <v>1346.4</v>
      </c>
      <c r="K55" s="243">
        <v>1346.4</v>
      </c>
      <c r="L55" s="243">
        <v>1346.4</v>
      </c>
      <c r="M55" s="243">
        <v>1346.4</v>
      </c>
      <c r="N55" s="243">
        <v>1346.4</v>
      </c>
      <c r="O55" s="243">
        <v>1346.4</v>
      </c>
      <c r="P55" s="243">
        <v>1346.4</v>
      </c>
      <c r="Q55" s="243">
        <v>1346.4</v>
      </c>
      <c r="R55" s="243">
        <v>1445.4</v>
      </c>
      <c r="S55" s="243">
        <v>1445.4</v>
      </c>
      <c r="T55" s="243">
        <v>1445.4</v>
      </c>
      <c r="U55" s="263">
        <f>SUM(I55:T55)</f>
        <v>16453.8</v>
      </c>
      <c r="W55" s="264">
        <f t="shared" si="25"/>
        <v>495</v>
      </c>
      <c r="X55" s="264">
        <f t="shared" si="26"/>
        <v>495</v>
      </c>
      <c r="Y55" s="264">
        <f t="shared" si="27"/>
        <v>495</v>
      </c>
      <c r="Z55" s="264">
        <f t="shared" si="28"/>
        <v>495</v>
      </c>
      <c r="AA55" s="264">
        <f t="shared" si="29"/>
        <v>495</v>
      </c>
      <c r="AB55" s="264">
        <f t="shared" si="30"/>
        <v>495</v>
      </c>
      <c r="AC55" s="264">
        <f t="shared" si="31"/>
        <v>495</v>
      </c>
      <c r="AD55" s="264">
        <f t="shared" si="32"/>
        <v>495</v>
      </c>
      <c r="AE55" s="264">
        <f t="shared" si="33"/>
        <v>495</v>
      </c>
      <c r="AF55" s="264">
        <f t="shared" si="34"/>
        <v>495.00000000000006</v>
      </c>
      <c r="AG55" s="264">
        <f t="shared" si="35"/>
        <v>495.00000000000006</v>
      </c>
      <c r="AH55" s="264">
        <f t="shared" si="36"/>
        <v>495.00000000000006</v>
      </c>
      <c r="AI55" s="265">
        <f t="shared" si="37"/>
        <v>495</v>
      </c>
      <c r="AJ55" s="266">
        <f t="shared" si="38"/>
        <v>5940</v>
      </c>
      <c r="AL55" s="241">
        <v>1</v>
      </c>
      <c r="AM55" s="240">
        <f>+$AI55*AL55</f>
        <v>495</v>
      </c>
      <c r="AN55" s="241">
        <v>0</v>
      </c>
      <c r="AO55" s="240">
        <f>+$AI55*AN55</f>
        <v>0</v>
      </c>
      <c r="AP55" s="241">
        <v>0</v>
      </c>
      <c r="AQ55" s="240">
        <f>+$AI55*AP55</f>
        <v>0</v>
      </c>
    </row>
    <row r="56" spans="2:44" s="253" customFormat="1" ht="12" customHeight="1" x14ac:dyDescent="0.2">
      <c r="B56" s="241" t="str">
        <f>"ridge"&amp;"residential"&amp;C56</f>
        <v>ridgeresidentialRPLUS</v>
      </c>
      <c r="C56" s="232" t="s">
        <v>1297</v>
      </c>
      <c r="D56" s="232" t="s">
        <v>1298</v>
      </c>
      <c r="E56" s="238">
        <v>10</v>
      </c>
      <c r="F56" s="238">
        <v>10</v>
      </c>
      <c r="G56" s="238">
        <v>12</v>
      </c>
      <c r="H56" s="261"/>
      <c r="I56" s="243">
        <v>90</v>
      </c>
      <c r="J56" s="243">
        <v>80</v>
      </c>
      <c r="K56" s="243">
        <v>90</v>
      </c>
      <c r="L56" s="243">
        <v>90</v>
      </c>
      <c r="M56" s="243">
        <v>95</v>
      </c>
      <c r="N56" s="243">
        <v>120</v>
      </c>
      <c r="O56" s="243">
        <v>100</v>
      </c>
      <c r="P56" s="243">
        <v>100</v>
      </c>
      <c r="Q56" s="243">
        <v>115</v>
      </c>
      <c r="R56" s="243">
        <v>149</v>
      </c>
      <c r="S56" s="243">
        <v>162</v>
      </c>
      <c r="T56" s="243">
        <v>174</v>
      </c>
      <c r="U56" s="263">
        <f>SUM(I56:T56)</f>
        <v>1365</v>
      </c>
      <c r="W56" s="264">
        <f t="shared" si="25"/>
        <v>9</v>
      </c>
      <c r="X56" s="264">
        <f t="shared" si="26"/>
        <v>8</v>
      </c>
      <c r="Y56" s="264">
        <f t="shared" si="27"/>
        <v>9</v>
      </c>
      <c r="Z56" s="264">
        <f t="shared" si="28"/>
        <v>9</v>
      </c>
      <c r="AA56" s="264">
        <f t="shared" si="29"/>
        <v>9.5</v>
      </c>
      <c r="AB56" s="264">
        <f t="shared" si="30"/>
        <v>12</v>
      </c>
      <c r="AC56" s="264">
        <f t="shared" si="31"/>
        <v>10</v>
      </c>
      <c r="AD56" s="264">
        <f t="shared" si="32"/>
        <v>10</v>
      </c>
      <c r="AE56" s="264">
        <f t="shared" si="33"/>
        <v>11.5</v>
      </c>
      <c r="AF56" s="264">
        <f t="shared" si="34"/>
        <v>12.416666666666666</v>
      </c>
      <c r="AG56" s="264">
        <f t="shared" si="35"/>
        <v>13.5</v>
      </c>
      <c r="AH56" s="264">
        <f t="shared" si="36"/>
        <v>14.5</v>
      </c>
      <c r="AI56" s="265">
        <f t="shared" si="37"/>
        <v>10.701388888888891</v>
      </c>
      <c r="AJ56" s="266">
        <f t="shared" si="38"/>
        <v>128.41666666666669</v>
      </c>
    </row>
    <row r="57" spans="2:44" ht="12" customHeight="1" x14ac:dyDescent="0.2">
      <c r="B57" s="1" t="str">
        <f>"ridge"&amp;"residential"&amp;C57</f>
        <v>ridgeresidentialRPSBE</v>
      </c>
      <c r="C57" s="58" t="s">
        <v>1225</v>
      </c>
      <c r="D57" s="58" t="s">
        <v>1367</v>
      </c>
      <c r="E57" s="11">
        <v>0</v>
      </c>
      <c r="F57" s="11">
        <v>0</v>
      </c>
      <c r="G57" s="11">
        <v>0</v>
      </c>
      <c r="H57" s="55"/>
      <c r="I57" s="14">
        <v>0</v>
      </c>
      <c r="J57" s="14">
        <v>0</v>
      </c>
      <c r="K57" s="14">
        <v>0</v>
      </c>
      <c r="L57" s="14">
        <v>0</v>
      </c>
      <c r="M57" s="14">
        <v>0</v>
      </c>
      <c r="N57" s="14">
        <v>0</v>
      </c>
      <c r="O57" s="14">
        <v>0</v>
      </c>
      <c r="P57" s="14">
        <v>0</v>
      </c>
      <c r="Q57" s="14">
        <v>0</v>
      </c>
      <c r="R57" s="14">
        <v>0</v>
      </c>
      <c r="S57" s="14">
        <v>0</v>
      </c>
      <c r="T57" s="14">
        <v>0</v>
      </c>
      <c r="U57" s="73">
        <f t="shared" ref="U57:U62" si="39">SUM(I57:T57)</f>
        <v>0</v>
      </c>
      <c r="W57" s="48">
        <f t="shared" si="25"/>
        <v>0</v>
      </c>
      <c r="X57" s="48">
        <f t="shared" si="26"/>
        <v>0</v>
      </c>
      <c r="Y57" s="48">
        <f t="shared" si="27"/>
        <v>0</v>
      </c>
      <c r="Z57" s="48">
        <f t="shared" si="28"/>
        <v>0</v>
      </c>
      <c r="AA57" s="48">
        <f t="shared" si="29"/>
        <v>0</v>
      </c>
      <c r="AB57" s="48">
        <f t="shared" si="30"/>
        <v>0</v>
      </c>
      <c r="AC57" s="48">
        <f t="shared" si="31"/>
        <v>0</v>
      </c>
      <c r="AD57" s="48">
        <f t="shared" si="32"/>
        <v>0</v>
      </c>
      <c r="AE57" s="48">
        <f t="shared" si="33"/>
        <v>0</v>
      </c>
      <c r="AF57" s="48">
        <f t="shared" si="34"/>
        <v>0</v>
      </c>
      <c r="AG57" s="48">
        <f t="shared" si="35"/>
        <v>0</v>
      </c>
      <c r="AH57" s="48">
        <f t="shared" si="36"/>
        <v>0</v>
      </c>
      <c r="AI57" s="47">
        <f t="shared" si="37"/>
        <v>0</v>
      </c>
      <c r="AJ57" s="134">
        <f t="shared" si="38"/>
        <v>0</v>
      </c>
      <c r="AL57" s="212">
        <v>1</v>
      </c>
      <c r="AM57" s="25">
        <f>+$AI57*AL57</f>
        <v>0</v>
      </c>
    </row>
    <row r="58" spans="2:44" ht="12" customHeight="1" x14ac:dyDescent="0.2">
      <c r="B58" s="1" t="str">
        <f>"ridge"&amp;"residential"&amp;C58</f>
        <v>ridgeresidentialRPSBO</v>
      </c>
      <c r="C58" s="58" t="s">
        <v>1182</v>
      </c>
      <c r="D58" s="58" t="s">
        <v>1366</v>
      </c>
      <c r="E58" s="11">
        <v>0</v>
      </c>
      <c r="F58" s="11">
        <v>0</v>
      </c>
      <c r="G58" s="11">
        <v>0</v>
      </c>
      <c r="H58" s="55"/>
      <c r="I58" s="14">
        <v>0</v>
      </c>
      <c r="J58" s="14">
        <v>0</v>
      </c>
      <c r="K58" s="14">
        <v>1.92</v>
      </c>
      <c r="L58" s="14">
        <v>7.68</v>
      </c>
      <c r="M58" s="14">
        <v>-9.6</v>
      </c>
      <c r="N58" s="14">
        <v>0</v>
      </c>
      <c r="O58" s="14">
        <v>3.84</v>
      </c>
      <c r="P58" s="14">
        <v>0</v>
      </c>
      <c r="Q58" s="14">
        <v>0</v>
      </c>
      <c r="R58" s="14">
        <v>0</v>
      </c>
      <c r="S58" s="14">
        <v>0</v>
      </c>
      <c r="T58" s="14">
        <v>0</v>
      </c>
      <c r="U58" s="73">
        <f t="shared" si="39"/>
        <v>3.84</v>
      </c>
      <c r="W58" s="48">
        <f t="shared" si="25"/>
        <v>0</v>
      </c>
      <c r="X58" s="48">
        <f t="shared" si="26"/>
        <v>0</v>
      </c>
      <c r="Y58" s="48">
        <f t="shared" si="27"/>
        <v>0</v>
      </c>
      <c r="Z58" s="48">
        <f t="shared" si="28"/>
        <v>0</v>
      </c>
      <c r="AA58" s="48">
        <f t="shared" si="29"/>
        <v>0</v>
      </c>
      <c r="AB58" s="48">
        <f t="shared" si="30"/>
        <v>0</v>
      </c>
      <c r="AC58" s="48">
        <f t="shared" si="31"/>
        <v>0</v>
      </c>
      <c r="AD58" s="48">
        <f t="shared" si="32"/>
        <v>0</v>
      </c>
      <c r="AE58" s="48">
        <f t="shared" si="33"/>
        <v>0</v>
      </c>
      <c r="AF58" s="48">
        <f t="shared" si="34"/>
        <v>0</v>
      </c>
      <c r="AG58" s="48">
        <f t="shared" si="35"/>
        <v>0</v>
      </c>
      <c r="AH58" s="48">
        <f t="shared" si="36"/>
        <v>0</v>
      </c>
      <c r="AI58" s="47">
        <f t="shared" si="37"/>
        <v>0</v>
      </c>
      <c r="AJ58" s="134">
        <f t="shared" si="38"/>
        <v>0</v>
      </c>
      <c r="AL58" s="212">
        <v>1</v>
      </c>
      <c r="AM58" s="25">
        <f>+$AI58*AL58</f>
        <v>0</v>
      </c>
    </row>
    <row r="59" spans="2:44" ht="12" customHeight="1" x14ac:dyDescent="0.2">
      <c r="B59" s="1" t="str">
        <f>"ridge"&amp;"residential"&amp;C59</f>
        <v>ridgeresidentialRPSMO</v>
      </c>
      <c r="C59" s="58" t="s">
        <v>1183</v>
      </c>
      <c r="D59" s="58" t="s">
        <v>1366</v>
      </c>
      <c r="E59" s="11">
        <v>1.07</v>
      </c>
      <c r="F59" s="11">
        <v>1.07</v>
      </c>
      <c r="G59" s="11">
        <v>1.66</v>
      </c>
      <c r="H59" s="55"/>
      <c r="I59" s="14">
        <v>4868.7299999999996</v>
      </c>
      <c r="J59" s="14">
        <v>4940.7299999999996</v>
      </c>
      <c r="K59" s="14">
        <v>4976.79</v>
      </c>
      <c r="L59" s="14">
        <v>4995.74</v>
      </c>
      <c r="M59" s="14">
        <v>5026.13</v>
      </c>
      <c r="N59" s="14">
        <v>5027.3900000000003</v>
      </c>
      <c r="O59" s="14">
        <v>5054.95</v>
      </c>
      <c r="P59" s="14">
        <v>5077.6400000000003</v>
      </c>
      <c r="Q59" s="14">
        <v>5100.04</v>
      </c>
      <c r="R59" s="14">
        <v>7915.56</v>
      </c>
      <c r="S59" s="14">
        <v>7922.37</v>
      </c>
      <c r="T59" s="14">
        <v>7957.21</v>
      </c>
      <c r="U59" s="73">
        <f t="shared" si="39"/>
        <v>68863.28</v>
      </c>
      <c r="W59" s="48">
        <f t="shared" si="25"/>
        <v>4550.2149532710273</v>
      </c>
      <c r="X59" s="48">
        <f t="shared" si="26"/>
        <v>4617.5046728971956</v>
      </c>
      <c r="Y59" s="48">
        <f t="shared" si="27"/>
        <v>4651.2056074766351</v>
      </c>
      <c r="Z59" s="48">
        <f t="shared" si="28"/>
        <v>4668.9158878504668</v>
      </c>
      <c r="AA59" s="48">
        <f t="shared" si="29"/>
        <v>4697.3177570093458</v>
      </c>
      <c r="AB59" s="48">
        <f t="shared" si="30"/>
        <v>4698.4953271028035</v>
      </c>
      <c r="AC59" s="48">
        <f t="shared" si="31"/>
        <v>4724.2523364485978</v>
      </c>
      <c r="AD59" s="48">
        <f t="shared" si="32"/>
        <v>4745.4579439252338</v>
      </c>
      <c r="AE59" s="48">
        <f t="shared" si="33"/>
        <v>4766.3925233644859</v>
      </c>
      <c r="AF59" s="48">
        <f t="shared" si="34"/>
        <v>4768.4096385542171</v>
      </c>
      <c r="AG59" s="48">
        <f t="shared" si="35"/>
        <v>4772.5120481927715</v>
      </c>
      <c r="AH59" s="48">
        <f t="shared" si="36"/>
        <v>4793.5</v>
      </c>
      <c r="AI59" s="47">
        <f t="shared" si="37"/>
        <v>4704.5148913410649</v>
      </c>
      <c r="AJ59" s="134">
        <f t="shared" si="38"/>
        <v>56454.178696092778</v>
      </c>
      <c r="AL59" s="212">
        <v>0</v>
      </c>
      <c r="AM59" s="25">
        <f>+$AI59*AL59</f>
        <v>0</v>
      </c>
    </row>
    <row r="60" spans="2:44" ht="12" customHeight="1" x14ac:dyDescent="0.2">
      <c r="B60" s="1" t="str">
        <f>"ridge"&amp;"residential extras"&amp;C60</f>
        <v>ridgeresidential extrasRPLUSX</v>
      </c>
      <c r="C60" s="58" t="s">
        <v>1295</v>
      </c>
      <c r="D60" s="58" t="s">
        <v>1296</v>
      </c>
      <c r="E60" s="11">
        <v>1</v>
      </c>
      <c r="F60" s="11">
        <v>1</v>
      </c>
      <c r="G60" s="11">
        <v>2</v>
      </c>
      <c r="H60" s="55"/>
      <c r="I60" s="14">
        <v>0</v>
      </c>
      <c r="J60" s="14">
        <v>0</v>
      </c>
      <c r="K60" s="14">
        <v>0</v>
      </c>
      <c r="L60" s="14">
        <v>0</v>
      </c>
      <c r="M60" s="14">
        <v>0</v>
      </c>
      <c r="N60" s="14">
        <v>0</v>
      </c>
      <c r="O60" s="14">
        <v>0</v>
      </c>
      <c r="P60" s="14">
        <v>0</v>
      </c>
      <c r="Q60" s="14">
        <v>0</v>
      </c>
      <c r="R60" s="14">
        <v>0</v>
      </c>
      <c r="S60" s="14">
        <v>0</v>
      </c>
      <c r="T60" s="14">
        <v>0</v>
      </c>
      <c r="U60" s="73">
        <f t="shared" si="39"/>
        <v>0</v>
      </c>
      <c r="W60" s="48">
        <f t="shared" si="25"/>
        <v>0</v>
      </c>
      <c r="X60" s="48">
        <f t="shared" si="26"/>
        <v>0</v>
      </c>
      <c r="Y60" s="48">
        <f t="shared" si="27"/>
        <v>0</v>
      </c>
      <c r="Z60" s="48">
        <f t="shared" si="28"/>
        <v>0</v>
      </c>
      <c r="AA60" s="48">
        <f t="shared" si="29"/>
        <v>0</v>
      </c>
      <c r="AB60" s="48">
        <f t="shared" si="30"/>
        <v>0</v>
      </c>
      <c r="AC60" s="48">
        <f t="shared" si="31"/>
        <v>0</v>
      </c>
      <c r="AD60" s="48">
        <f t="shared" si="32"/>
        <v>0</v>
      </c>
      <c r="AE60" s="48">
        <f t="shared" si="33"/>
        <v>0</v>
      </c>
      <c r="AF60" s="48">
        <f t="shared" si="34"/>
        <v>0</v>
      </c>
      <c r="AG60" s="48">
        <f t="shared" si="35"/>
        <v>0</v>
      </c>
      <c r="AH60" s="48">
        <f t="shared" si="36"/>
        <v>0</v>
      </c>
      <c r="AI60" s="47">
        <f t="shared" si="37"/>
        <v>0</v>
      </c>
      <c r="AJ60" s="134">
        <f t="shared" si="38"/>
        <v>0</v>
      </c>
    </row>
    <row r="61" spans="2:44" ht="12" customHeight="1" x14ac:dyDescent="0.2">
      <c r="B61" s="1" t="str">
        <f>"ridge"&amp;"multifamily"&amp;C61</f>
        <v>ridgemultifamilyRPSMMF</v>
      </c>
      <c r="C61" s="58" t="s">
        <v>1179</v>
      </c>
      <c r="D61" s="58" t="s">
        <v>1366</v>
      </c>
      <c r="E61" s="11">
        <v>0.31</v>
      </c>
      <c r="F61" s="11">
        <v>0.31</v>
      </c>
      <c r="G61" s="11">
        <v>0.5</v>
      </c>
      <c r="H61" s="55"/>
      <c r="I61" s="14">
        <v>153.44999999999999</v>
      </c>
      <c r="J61" s="14">
        <v>153.44999999999999</v>
      </c>
      <c r="K61" s="14">
        <v>153.44999999999999</v>
      </c>
      <c r="L61" s="14">
        <v>153.44999999999999</v>
      </c>
      <c r="M61" s="14">
        <v>153.44999999999999</v>
      </c>
      <c r="N61" s="14">
        <v>153.44999999999999</v>
      </c>
      <c r="O61" s="14">
        <v>153.44999999999999</v>
      </c>
      <c r="P61" s="14">
        <v>153.44999999999999</v>
      </c>
      <c r="Q61" s="14">
        <v>153.44999999999999</v>
      </c>
      <c r="R61" s="14">
        <v>247.5</v>
      </c>
      <c r="S61" s="14">
        <v>247.5</v>
      </c>
      <c r="T61" s="14">
        <v>247.5</v>
      </c>
      <c r="U61" s="73">
        <f t="shared" si="39"/>
        <v>2123.5500000000002</v>
      </c>
      <c r="W61" s="48">
        <f t="shared" si="25"/>
        <v>494.99999999999994</v>
      </c>
      <c r="X61" s="48">
        <f t="shared" si="26"/>
        <v>494.99999999999994</v>
      </c>
      <c r="Y61" s="48">
        <f t="shared" si="27"/>
        <v>494.99999999999994</v>
      </c>
      <c r="Z61" s="48">
        <f t="shared" si="28"/>
        <v>494.99999999999994</v>
      </c>
      <c r="AA61" s="48">
        <f t="shared" si="29"/>
        <v>494.99999999999994</v>
      </c>
      <c r="AB61" s="48">
        <f t="shared" si="30"/>
        <v>494.99999999999994</v>
      </c>
      <c r="AC61" s="48">
        <f t="shared" si="31"/>
        <v>494.99999999999994</v>
      </c>
      <c r="AD61" s="48">
        <f t="shared" si="32"/>
        <v>494.99999999999994</v>
      </c>
      <c r="AE61" s="48">
        <f t="shared" si="33"/>
        <v>494.99999999999994</v>
      </c>
      <c r="AF61" s="48">
        <f t="shared" si="34"/>
        <v>495</v>
      </c>
      <c r="AG61" s="48">
        <f t="shared" si="35"/>
        <v>495</v>
      </c>
      <c r="AH61" s="48">
        <f t="shared" si="36"/>
        <v>495</v>
      </c>
      <c r="AI61" s="47">
        <f t="shared" si="37"/>
        <v>494.99999999999994</v>
      </c>
      <c r="AJ61" s="134">
        <f t="shared" si="38"/>
        <v>5939.9999999999991</v>
      </c>
    </row>
    <row r="62" spans="2:44" ht="12" customHeight="1" x14ac:dyDescent="0.2">
      <c r="B62" s="1" t="str">
        <f>"ridge"&amp;"residential"&amp;C62</f>
        <v>ridgeresidentialRGREC</v>
      </c>
      <c r="C62" s="58" t="s">
        <v>421</v>
      </c>
      <c r="D62" s="58" t="s">
        <v>430</v>
      </c>
      <c r="E62" s="11">
        <v>0</v>
      </c>
      <c r="F62" s="11">
        <v>0</v>
      </c>
      <c r="G62" s="11">
        <v>0</v>
      </c>
      <c r="H62" s="55"/>
      <c r="I62" s="14">
        <v>0</v>
      </c>
      <c r="J62" s="14">
        <v>0</v>
      </c>
      <c r="K62" s="14">
        <v>0</v>
      </c>
      <c r="L62" s="14">
        <v>0</v>
      </c>
      <c r="M62" s="14">
        <v>0</v>
      </c>
      <c r="N62" s="14">
        <v>0</v>
      </c>
      <c r="O62" s="14">
        <v>0</v>
      </c>
      <c r="P62" s="14">
        <v>0</v>
      </c>
      <c r="Q62" s="14">
        <v>0</v>
      </c>
      <c r="R62" s="14">
        <v>0</v>
      </c>
      <c r="S62" s="14">
        <v>0</v>
      </c>
      <c r="T62" s="14">
        <v>0</v>
      </c>
      <c r="U62" s="73">
        <f t="shared" si="39"/>
        <v>0</v>
      </c>
      <c r="W62" s="48">
        <f t="shared" si="25"/>
        <v>0</v>
      </c>
      <c r="X62" s="48">
        <f t="shared" si="26"/>
        <v>0</v>
      </c>
      <c r="Y62" s="48">
        <f t="shared" si="27"/>
        <v>0</v>
      </c>
      <c r="Z62" s="48">
        <f t="shared" si="28"/>
        <v>0</v>
      </c>
      <c r="AA62" s="48">
        <f t="shared" si="29"/>
        <v>0</v>
      </c>
      <c r="AB62" s="48">
        <f t="shared" si="30"/>
        <v>0</v>
      </c>
      <c r="AC62" s="48">
        <f t="shared" si="31"/>
        <v>0</v>
      </c>
      <c r="AD62" s="48">
        <f t="shared" si="32"/>
        <v>0</v>
      </c>
      <c r="AE62" s="48">
        <f t="shared" si="33"/>
        <v>0</v>
      </c>
      <c r="AF62" s="48">
        <f t="shared" si="34"/>
        <v>0</v>
      </c>
      <c r="AG62" s="48">
        <f t="shared" si="35"/>
        <v>0</v>
      </c>
      <c r="AH62" s="48">
        <f t="shared" si="36"/>
        <v>0</v>
      </c>
      <c r="AI62" s="47">
        <f t="shared" si="37"/>
        <v>0</v>
      </c>
      <c r="AJ62" s="134">
        <f t="shared" si="38"/>
        <v>0</v>
      </c>
    </row>
    <row r="63" spans="2:44" ht="12" customHeight="1" x14ac:dyDescent="0.2">
      <c r="C63" s="40"/>
      <c r="D63" s="40"/>
      <c r="E63" s="11"/>
      <c r="F63" s="11"/>
      <c r="G63" s="11"/>
      <c r="H63" s="55"/>
      <c r="I63" s="75"/>
      <c r="J63" s="49"/>
      <c r="K63" s="49"/>
      <c r="U63" s="73"/>
      <c r="W63" s="48"/>
      <c r="X63" s="48"/>
      <c r="Y63" s="48"/>
      <c r="Z63" s="48"/>
      <c r="AA63" s="48"/>
      <c r="AB63" s="48"/>
      <c r="AC63" s="48"/>
      <c r="AD63" s="48"/>
      <c r="AE63" s="48"/>
      <c r="AF63" s="48"/>
      <c r="AG63" s="48"/>
      <c r="AH63" s="48"/>
    </row>
    <row r="64" spans="2:44" ht="12" customHeight="1" x14ac:dyDescent="0.2">
      <c r="D64" s="52" t="s">
        <v>6</v>
      </c>
      <c r="E64" s="11"/>
      <c r="F64" s="11"/>
      <c r="G64" s="11"/>
      <c r="H64" s="55"/>
      <c r="I64" s="74">
        <f t="shared" ref="I64:U64" si="40">SUM(I54:I63)</f>
        <v>26493.980000000003</v>
      </c>
      <c r="J64" s="74">
        <f t="shared" si="40"/>
        <v>26835.38</v>
      </c>
      <c r="K64" s="74">
        <f t="shared" si="40"/>
        <v>26995.160000000003</v>
      </c>
      <c r="L64" s="74">
        <f t="shared" si="40"/>
        <v>27148.969999999998</v>
      </c>
      <c r="M64" s="74">
        <f t="shared" si="40"/>
        <v>27268.100000000002</v>
      </c>
      <c r="N64" s="74">
        <f t="shared" si="40"/>
        <v>27320.820000000003</v>
      </c>
      <c r="O64" s="74">
        <f t="shared" si="40"/>
        <v>27449.74</v>
      </c>
      <c r="P64" s="74">
        <f t="shared" si="40"/>
        <v>27552.190000000002</v>
      </c>
      <c r="Q64" s="74">
        <f t="shared" si="40"/>
        <v>27691.890000000003</v>
      </c>
      <c r="R64" s="74">
        <f t="shared" si="40"/>
        <v>32319.11</v>
      </c>
      <c r="S64" s="74">
        <f t="shared" si="40"/>
        <v>32346.61</v>
      </c>
      <c r="T64" s="74">
        <f t="shared" si="40"/>
        <v>32497.66</v>
      </c>
      <c r="U64" s="74">
        <f t="shared" si="40"/>
        <v>341919.61000000004</v>
      </c>
      <c r="W64" s="188">
        <f>+SUM(W54:W56)</f>
        <v>5057.5</v>
      </c>
      <c r="X64" s="188">
        <f t="shared" ref="X64:AJ64" si="41">+SUM(X54:X56)</f>
        <v>5119.9999999999991</v>
      </c>
      <c r="Y64" s="188">
        <f t="shared" si="41"/>
        <v>5146.409090909091</v>
      </c>
      <c r="Z64" s="188">
        <f t="shared" si="41"/>
        <v>5175.7499999999991</v>
      </c>
      <c r="AA64" s="188">
        <f t="shared" si="41"/>
        <v>5199.2090909090903</v>
      </c>
      <c r="AB64" s="188">
        <f t="shared" si="41"/>
        <v>5205.5409090909088</v>
      </c>
      <c r="AC64" s="188">
        <f t="shared" si="41"/>
        <v>5230.2499999999991</v>
      </c>
      <c r="AD64" s="188">
        <f t="shared" si="41"/>
        <v>5249.25</v>
      </c>
      <c r="AE64" s="188">
        <f t="shared" si="41"/>
        <v>5274</v>
      </c>
      <c r="AF64" s="188">
        <f t="shared" si="41"/>
        <v>5277.3215292459472</v>
      </c>
      <c r="AG64" s="188">
        <f t="shared" si="41"/>
        <v>5280.0306553911205</v>
      </c>
      <c r="AH64" s="188">
        <f t="shared" si="41"/>
        <v>5303.0623678646925</v>
      </c>
      <c r="AI64" s="188">
        <f t="shared" si="41"/>
        <v>5209.8603036175709</v>
      </c>
      <c r="AJ64" s="188">
        <f t="shared" si="41"/>
        <v>62518.323643410848</v>
      </c>
      <c r="AM64" s="189">
        <f>SUM(AM54:AM62)</f>
        <v>5199.1589147286822</v>
      </c>
      <c r="AO64" s="189">
        <f>SUM(AO54:AO62)</f>
        <v>0</v>
      </c>
      <c r="AQ64" s="189">
        <f>SUM(AQ54:AQ62)</f>
        <v>0</v>
      </c>
    </row>
    <row r="65" spans="2:43" ht="12" customHeight="1" x14ac:dyDescent="0.2">
      <c r="D65" s="52"/>
      <c r="E65" s="11"/>
      <c r="F65" s="11"/>
      <c r="G65" s="11"/>
      <c r="H65" s="55"/>
      <c r="I65" s="46"/>
      <c r="J65" s="49" t="str">
        <f>IF(H65="","",(#REF!/H65)+(#REF!/#REF!))</f>
        <v/>
      </c>
      <c r="K65" s="49" t="str">
        <f>IF(H65="","",J65/12)</f>
        <v/>
      </c>
      <c r="L65" s="72"/>
      <c r="M65" s="73"/>
      <c r="U65" s="73"/>
      <c r="W65" s="48"/>
      <c r="X65" s="48"/>
      <c r="Y65" s="48"/>
      <c r="Z65" s="48"/>
      <c r="AA65" s="48"/>
      <c r="AB65" s="48"/>
      <c r="AC65" s="48"/>
      <c r="AD65" s="48"/>
      <c r="AE65" s="48"/>
      <c r="AF65" s="48"/>
      <c r="AG65" s="48"/>
      <c r="AH65" s="48"/>
    </row>
    <row r="66" spans="2:43" ht="12" customHeight="1" x14ac:dyDescent="0.2">
      <c r="C66" s="62" t="s">
        <v>7</v>
      </c>
      <c r="D66" s="62" t="s">
        <v>7</v>
      </c>
      <c r="E66" s="11"/>
      <c r="F66" s="11"/>
      <c r="G66" s="11"/>
      <c r="H66" s="55"/>
      <c r="I66" s="46"/>
      <c r="J66" s="49" t="str">
        <f>IF(H66="","",(#REF!/H66)+(#REF!/#REF!))</f>
        <v/>
      </c>
      <c r="K66" s="49" t="str">
        <f>IF(H66="","",J66/12)</f>
        <v/>
      </c>
      <c r="L66" s="46"/>
      <c r="M66" s="73"/>
      <c r="U66" s="73"/>
      <c r="AI66" s="45"/>
    </row>
    <row r="67" spans="2:43" s="253" customFormat="1" ht="12" customHeight="1" x14ac:dyDescent="0.2">
      <c r="B67" s="241" t="str">
        <f>"ridge"&amp;"residential"&amp;C67</f>
        <v>ridgeresidentialRYDM</v>
      </c>
      <c r="C67" s="232" t="s">
        <v>684</v>
      </c>
      <c r="D67" s="232" t="s">
        <v>685</v>
      </c>
      <c r="E67" s="238">
        <v>9.83</v>
      </c>
      <c r="F67" s="238">
        <v>9.83</v>
      </c>
      <c r="G67" s="238">
        <v>10.56</v>
      </c>
      <c r="H67" s="267"/>
      <c r="I67" s="243">
        <v>15302.84</v>
      </c>
      <c r="J67" s="243">
        <v>15270.88</v>
      </c>
      <c r="K67" s="243">
        <v>14759.71</v>
      </c>
      <c r="L67" s="243">
        <v>14582.79</v>
      </c>
      <c r="M67" s="243">
        <v>14484.49</v>
      </c>
      <c r="N67" s="243">
        <v>14329.69</v>
      </c>
      <c r="O67" s="243">
        <v>14231.42</v>
      </c>
      <c r="P67" s="243">
        <v>13034.59</v>
      </c>
      <c r="Q67" s="243">
        <v>12862.56</v>
      </c>
      <c r="R67" s="243">
        <v>13687.68</v>
      </c>
      <c r="S67" s="243">
        <v>13427.04</v>
      </c>
      <c r="T67" s="243">
        <v>13384.800000000001</v>
      </c>
      <c r="U67" s="263">
        <f t="shared" ref="U67:U76" si="42">SUM(I67:T67)</f>
        <v>169358.49</v>
      </c>
      <c r="W67" s="264">
        <f t="shared" ref="W67:W76" si="43">IFERROR(I67/$E67,0)</f>
        <v>1556.7487283825026</v>
      </c>
      <c r="X67" s="264">
        <f t="shared" ref="X67:X76" si="44">IFERROR(J67/$E67,0)</f>
        <v>1553.4974567650049</v>
      </c>
      <c r="Y67" s="264">
        <f t="shared" ref="Y67:Y76" si="45">IFERROR(K67/$E67,0)</f>
        <v>1501.4964394710071</v>
      </c>
      <c r="Z67" s="264">
        <f t="shared" ref="Z67:Z76" si="46">IFERROR(L67/$F67,0)</f>
        <v>1483.4984740590032</v>
      </c>
      <c r="AA67" s="264">
        <f t="shared" ref="AA67:AA76" si="47">IFERROR(M67/$F67,0)</f>
        <v>1473.498474059003</v>
      </c>
      <c r="AB67" s="264">
        <f t="shared" ref="AB67:AB76" si="48">IFERROR(N67/$F67,0)</f>
        <v>1457.7507629704985</v>
      </c>
      <c r="AC67" s="264">
        <f t="shared" ref="AC67:AC76" si="49">IFERROR(O67/$F67,0)</f>
        <v>1447.7538148524923</v>
      </c>
      <c r="AD67" s="264">
        <f t="shared" ref="AD67:AD76" si="50">IFERROR(P67/$F67,0)</f>
        <v>1326.0010172939981</v>
      </c>
      <c r="AE67" s="264">
        <f t="shared" ref="AE67:AE76" si="51">IFERROR(Q67/$F67,0)</f>
        <v>1308.5005086469989</v>
      </c>
      <c r="AF67" s="264">
        <f t="shared" ref="AF67:AF76" si="52">IFERROR(R67/$G67,0)</f>
        <v>1296.1818181818182</v>
      </c>
      <c r="AG67" s="264">
        <f t="shared" ref="AG67:AG76" si="53">IFERROR(S67/$G67,0)</f>
        <v>1271.5</v>
      </c>
      <c r="AH67" s="264">
        <f t="shared" ref="AH67:AH76" si="54">IFERROR(T67/$G67,0)</f>
        <v>1267.5</v>
      </c>
      <c r="AI67" s="265">
        <f>+IFERROR(AVERAGE(W67:AH67),0)</f>
        <v>1411.993957890194</v>
      </c>
      <c r="AJ67" s="266">
        <f t="shared" ref="AJ67:AJ74" si="55">SUM(W67:AH67)</f>
        <v>16943.927494682328</v>
      </c>
      <c r="AL67" s="241">
        <v>1</v>
      </c>
      <c r="AM67" s="240">
        <f t="shared" ref="AM67:AM76" si="56">+$AI67*AL67</f>
        <v>1411.993957890194</v>
      </c>
      <c r="AN67" s="241">
        <v>0</v>
      </c>
      <c r="AO67" s="240">
        <f t="shared" ref="AO67:AO76" si="57">+$AI67*AN67</f>
        <v>0</v>
      </c>
      <c r="AP67" s="241">
        <v>0</v>
      </c>
      <c r="AQ67" s="240">
        <f t="shared" ref="AQ67:AQ74" si="58">+$AI67*AP67</f>
        <v>0</v>
      </c>
    </row>
    <row r="68" spans="2:43" s="253" customFormat="1" ht="12" customHeight="1" x14ac:dyDescent="0.25">
      <c r="B68" s="241" t="str">
        <f>"ridge"&amp;"residential"&amp;C68</f>
        <v>ridgeresidentialOR20G</v>
      </c>
      <c r="C68" s="249" t="s">
        <v>1254</v>
      </c>
      <c r="D68" s="249" t="s">
        <v>1255</v>
      </c>
      <c r="E68" s="238">
        <v>9.83</v>
      </c>
      <c r="F68" s="238">
        <v>9.83</v>
      </c>
      <c r="G68" s="238">
        <v>10.56</v>
      </c>
      <c r="H68" s="268"/>
      <c r="I68" s="243">
        <v>326.83999999999997</v>
      </c>
      <c r="J68" s="243">
        <v>353.87</v>
      </c>
      <c r="K68" s="243">
        <v>373.53</v>
      </c>
      <c r="L68" s="243">
        <v>398.11</v>
      </c>
      <c r="M68" s="243">
        <v>412.86</v>
      </c>
      <c r="N68" s="243">
        <v>412.87</v>
      </c>
      <c r="O68" s="243">
        <v>452.19</v>
      </c>
      <c r="P68" s="243">
        <v>442.36</v>
      </c>
      <c r="Q68" s="243">
        <v>462.01</v>
      </c>
      <c r="R68" s="243">
        <v>496.32</v>
      </c>
      <c r="S68" s="243">
        <v>511.43</v>
      </c>
      <c r="T68" s="243">
        <v>501.6</v>
      </c>
      <c r="U68" s="263">
        <f t="shared" si="42"/>
        <v>5143.9900000000007</v>
      </c>
      <c r="W68" s="264">
        <f t="shared" si="43"/>
        <v>33.249237029501522</v>
      </c>
      <c r="X68" s="264">
        <f t="shared" si="44"/>
        <v>35.998982706002032</v>
      </c>
      <c r="Y68" s="264">
        <f t="shared" si="45"/>
        <v>37.998982706002032</v>
      </c>
      <c r="Z68" s="264">
        <f t="shared" si="46"/>
        <v>40.499491353001019</v>
      </c>
      <c r="AA68" s="264">
        <f t="shared" si="47"/>
        <v>42</v>
      </c>
      <c r="AB68" s="264">
        <f t="shared" si="48"/>
        <v>42.001017293997968</v>
      </c>
      <c r="AC68" s="264">
        <f t="shared" si="49"/>
        <v>46.001017293997968</v>
      </c>
      <c r="AD68" s="264">
        <f t="shared" si="50"/>
        <v>45.001017293997968</v>
      </c>
      <c r="AE68" s="264">
        <f t="shared" si="51"/>
        <v>47</v>
      </c>
      <c r="AF68" s="264">
        <f t="shared" si="52"/>
        <v>47</v>
      </c>
      <c r="AG68" s="264">
        <f t="shared" si="53"/>
        <v>48.430871212121211</v>
      </c>
      <c r="AH68" s="264">
        <f t="shared" si="54"/>
        <v>47.5</v>
      </c>
      <c r="AI68" s="265">
        <f t="shared" ref="AI68:AI73" si="59">+IFERROR(AVERAGE(W68:AH68),0)</f>
        <v>42.723384740718473</v>
      </c>
      <c r="AJ68" s="266">
        <f t="shared" si="55"/>
        <v>512.68061688862167</v>
      </c>
      <c r="AL68" s="241">
        <v>1</v>
      </c>
      <c r="AM68" s="240">
        <f t="shared" si="56"/>
        <v>42.723384740718473</v>
      </c>
      <c r="AN68" s="241">
        <v>0</v>
      </c>
      <c r="AO68" s="240">
        <f t="shared" si="57"/>
        <v>0</v>
      </c>
      <c r="AP68" s="241">
        <v>0</v>
      </c>
      <c r="AQ68" s="240">
        <f t="shared" si="58"/>
        <v>0</v>
      </c>
    </row>
    <row r="69" spans="2:43" s="253" customFormat="1" ht="12" customHeight="1" x14ac:dyDescent="0.25">
      <c r="B69" s="241" t="str">
        <f>"ridge"&amp;"residential"&amp;C69</f>
        <v>ridgeresidentialOR32G</v>
      </c>
      <c r="C69" s="249" t="s">
        <v>1256</v>
      </c>
      <c r="D69" s="249" t="s">
        <v>1257</v>
      </c>
      <c r="E69" s="238">
        <v>9.83</v>
      </c>
      <c r="F69" s="238">
        <v>9.83</v>
      </c>
      <c r="G69" s="238">
        <v>10.56</v>
      </c>
      <c r="H69" s="268"/>
      <c r="I69" s="243">
        <v>1041.96</v>
      </c>
      <c r="J69" s="243">
        <v>1096.03</v>
      </c>
      <c r="K69" s="243">
        <v>1174.67</v>
      </c>
      <c r="L69" s="243">
        <v>1218.9000000000001</v>
      </c>
      <c r="M69" s="243">
        <v>1268.07</v>
      </c>
      <c r="N69" s="243">
        <v>1287.72</v>
      </c>
      <c r="O69" s="243">
        <v>1297.57</v>
      </c>
      <c r="P69" s="243">
        <v>1312.31</v>
      </c>
      <c r="Q69" s="243">
        <v>1317.22</v>
      </c>
      <c r="R69" s="243">
        <v>1425.6</v>
      </c>
      <c r="S69" s="243">
        <v>1420.32</v>
      </c>
      <c r="T69" s="243">
        <v>1457.28</v>
      </c>
      <c r="U69" s="263">
        <f t="shared" si="42"/>
        <v>15317.65</v>
      </c>
      <c r="W69" s="264">
        <f t="shared" si="43"/>
        <v>105.99796541200408</v>
      </c>
      <c r="X69" s="264">
        <f t="shared" si="44"/>
        <v>111.49847405900304</v>
      </c>
      <c r="Y69" s="264">
        <f t="shared" si="45"/>
        <v>119.49847405900306</v>
      </c>
      <c r="Z69" s="264">
        <f t="shared" si="46"/>
        <v>123.99796541200408</v>
      </c>
      <c r="AA69" s="264">
        <f t="shared" si="47"/>
        <v>129</v>
      </c>
      <c r="AB69" s="264">
        <f t="shared" si="48"/>
        <v>130.99898270600204</v>
      </c>
      <c r="AC69" s="264">
        <f t="shared" si="49"/>
        <v>132.00101729399796</v>
      </c>
      <c r="AD69" s="264">
        <f t="shared" si="50"/>
        <v>133.50050864699898</v>
      </c>
      <c r="AE69" s="264">
        <f t="shared" si="51"/>
        <v>134</v>
      </c>
      <c r="AF69" s="264">
        <f t="shared" si="52"/>
        <v>134.99999999999997</v>
      </c>
      <c r="AG69" s="264">
        <f t="shared" si="53"/>
        <v>134.5</v>
      </c>
      <c r="AH69" s="264">
        <f t="shared" si="54"/>
        <v>138</v>
      </c>
      <c r="AI69" s="265">
        <f t="shared" si="59"/>
        <v>127.33278229908444</v>
      </c>
      <c r="AJ69" s="266">
        <f t="shared" si="55"/>
        <v>1527.9933875890133</v>
      </c>
      <c r="AL69" s="241">
        <v>1</v>
      </c>
      <c r="AM69" s="240">
        <f t="shared" si="56"/>
        <v>127.33278229908444</v>
      </c>
      <c r="AN69" s="241">
        <v>0</v>
      </c>
      <c r="AO69" s="240">
        <f t="shared" si="57"/>
        <v>0</v>
      </c>
      <c r="AP69" s="241">
        <v>0</v>
      </c>
      <c r="AQ69" s="240">
        <f t="shared" si="58"/>
        <v>0</v>
      </c>
    </row>
    <row r="70" spans="2:43" s="253" customFormat="1" ht="12" customHeight="1" x14ac:dyDescent="0.25">
      <c r="B70" s="241" t="str">
        <f>"ridge"&amp;"residential"&amp;C70</f>
        <v>ridgeresidentialOR64G</v>
      </c>
      <c r="C70" s="249" t="s">
        <v>1258</v>
      </c>
      <c r="D70" s="249" t="s">
        <v>1259</v>
      </c>
      <c r="E70" s="238">
        <v>9.83</v>
      </c>
      <c r="F70" s="238">
        <v>9.83</v>
      </c>
      <c r="G70" s="238">
        <v>10.56</v>
      </c>
      <c r="H70" s="268"/>
      <c r="I70" s="243">
        <v>1341.79</v>
      </c>
      <c r="J70" s="243">
        <v>1435.14</v>
      </c>
      <c r="K70" s="243">
        <v>1567.86</v>
      </c>
      <c r="L70" s="243">
        <v>1631.76</v>
      </c>
      <c r="M70" s="243">
        <v>1671.08</v>
      </c>
      <c r="N70" s="243">
        <v>1735.01</v>
      </c>
      <c r="O70" s="243">
        <v>1744.84</v>
      </c>
      <c r="P70" s="243">
        <v>1705.95</v>
      </c>
      <c r="Q70" s="243">
        <v>1715.34</v>
      </c>
      <c r="R70" s="243">
        <v>1874.04</v>
      </c>
      <c r="S70" s="243">
        <v>1921.92</v>
      </c>
      <c r="T70" s="243">
        <v>1945.68</v>
      </c>
      <c r="U70" s="263">
        <f t="shared" si="42"/>
        <v>20290.410000000003</v>
      </c>
      <c r="W70" s="264">
        <f t="shared" si="43"/>
        <v>136.49949135300102</v>
      </c>
      <c r="X70" s="264">
        <f t="shared" si="44"/>
        <v>145.99593082400816</v>
      </c>
      <c r="Y70" s="264">
        <f t="shared" si="45"/>
        <v>159.49745676500507</v>
      </c>
      <c r="Z70" s="264">
        <f t="shared" si="46"/>
        <v>165.99796541200408</v>
      </c>
      <c r="AA70" s="264">
        <f t="shared" si="47"/>
        <v>169.99796541200405</v>
      </c>
      <c r="AB70" s="264">
        <f t="shared" si="48"/>
        <v>176.50152594099694</v>
      </c>
      <c r="AC70" s="264">
        <f t="shared" si="49"/>
        <v>177.50152594099694</v>
      </c>
      <c r="AD70" s="264">
        <f t="shared" si="50"/>
        <v>173.54526958290947</v>
      </c>
      <c r="AE70" s="264">
        <f t="shared" si="51"/>
        <v>174.50050864699898</v>
      </c>
      <c r="AF70" s="264">
        <f t="shared" si="52"/>
        <v>177.46590909090907</v>
      </c>
      <c r="AG70" s="264">
        <f t="shared" si="53"/>
        <v>182</v>
      </c>
      <c r="AH70" s="264">
        <f t="shared" si="54"/>
        <v>184.25</v>
      </c>
      <c r="AI70" s="265">
        <f t="shared" si="59"/>
        <v>168.64612908073613</v>
      </c>
      <c r="AJ70" s="266">
        <f t="shared" si="55"/>
        <v>2023.7535489688337</v>
      </c>
      <c r="AL70" s="241">
        <v>1</v>
      </c>
      <c r="AM70" s="240">
        <f t="shared" si="56"/>
        <v>168.64612908073613</v>
      </c>
      <c r="AN70" s="241">
        <v>0</v>
      </c>
      <c r="AO70" s="240">
        <f t="shared" si="57"/>
        <v>0</v>
      </c>
      <c r="AP70" s="241">
        <v>0</v>
      </c>
      <c r="AQ70" s="240">
        <f t="shared" si="58"/>
        <v>0</v>
      </c>
    </row>
    <row r="71" spans="2:43" s="253" customFormat="1" ht="12" customHeight="1" x14ac:dyDescent="0.25">
      <c r="B71" s="241" t="str">
        <f>"ridge"&amp;"residential"&amp;C71</f>
        <v>ridgeresidentialOR96G</v>
      </c>
      <c r="C71" s="249" t="s">
        <v>1260</v>
      </c>
      <c r="D71" s="249" t="s">
        <v>1261</v>
      </c>
      <c r="E71" s="238">
        <v>9.83</v>
      </c>
      <c r="F71" s="238">
        <v>9.83</v>
      </c>
      <c r="G71" s="238">
        <v>10.56</v>
      </c>
      <c r="H71" s="268"/>
      <c r="I71" s="243">
        <v>6718.71</v>
      </c>
      <c r="J71" s="243">
        <v>7050.44</v>
      </c>
      <c r="K71" s="243">
        <v>7713.6399999999994</v>
      </c>
      <c r="L71" s="243">
        <v>7991.64</v>
      </c>
      <c r="M71" s="243">
        <v>8233.26</v>
      </c>
      <c r="N71" s="243">
        <v>8391.6600000000017</v>
      </c>
      <c r="O71" s="243">
        <v>8446.51</v>
      </c>
      <c r="P71" s="243">
        <v>9535.18</v>
      </c>
      <c r="Q71" s="243">
        <v>9603.99</v>
      </c>
      <c r="R71" s="243">
        <v>10383.24</v>
      </c>
      <c r="S71" s="243">
        <v>10552.08</v>
      </c>
      <c r="T71" s="243">
        <v>10718.4</v>
      </c>
      <c r="U71" s="263">
        <f t="shared" si="42"/>
        <v>105338.75000000001</v>
      </c>
      <c r="W71" s="264">
        <f t="shared" si="43"/>
        <v>683.49033570701931</v>
      </c>
      <c r="X71" s="264">
        <f t="shared" si="44"/>
        <v>717.23702950152585</v>
      </c>
      <c r="Y71" s="264">
        <f t="shared" si="45"/>
        <v>784.70396744659195</v>
      </c>
      <c r="Z71" s="264">
        <f t="shared" si="46"/>
        <v>812.98474059003058</v>
      </c>
      <c r="AA71" s="264">
        <f t="shared" si="47"/>
        <v>837.56459816887082</v>
      </c>
      <c r="AB71" s="264">
        <f t="shared" si="48"/>
        <v>853.67853509664315</v>
      </c>
      <c r="AC71" s="264">
        <f t="shared" si="49"/>
        <v>859.25839267548326</v>
      </c>
      <c r="AD71" s="264">
        <f t="shared" si="50"/>
        <v>970.00813835198369</v>
      </c>
      <c r="AE71" s="264">
        <f t="shared" si="51"/>
        <v>977.00813835198369</v>
      </c>
      <c r="AF71" s="264">
        <f t="shared" si="52"/>
        <v>983.26136363636363</v>
      </c>
      <c r="AG71" s="264">
        <f t="shared" si="53"/>
        <v>999.25</v>
      </c>
      <c r="AH71" s="264">
        <f t="shared" si="54"/>
        <v>1014.9999999999999</v>
      </c>
      <c r="AI71" s="265">
        <f t="shared" si="59"/>
        <v>874.45376996054131</v>
      </c>
      <c r="AJ71" s="266">
        <f t="shared" si="55"/>
        <v>10493.445239526496</v>
      </c>
      <c r="AL71" s="241">
        <v>1</v>
      </c>
      <c r="AM71" s="240">
        <f t="shared" si="56"/>
        <v>874.45376996054131</v>
      </c>
      <c r="AN71" s="241">
        <v>0</v>
      </c>
      <c r="AO71" s="240">
        <f t="shared" si="57"/>
        <v>0</v>
      </c>
      <c r="AP71" s="241">
        <v>0</v>
      </c>
      <c r="AQ71" s="240">
        <f t="shared" si="58"/>
        <v>0</v>
      </c>
    </row>
    <row r="72" spans="2:43" s="253" customFormat="1" ht="12" customHeight="1" x14ac:dyDescent="0.25">
      <c r="B72" s="241" t="str">
        <f>"ridge"&amp;"commercial"&amp;C72</f>
        <v>ridgecommercialOM32G</v>
      </c>
      <c r="C72" s="249" t="s">
        <v>1230</v>
      </c>
      <c r="D72" s="249" t="s">
        <v>1231</v>
      </c>
      <c r="E72" s="238">
        <v>9.83</v>
      </c>
      <c r="F72" s="238">
        <v>9.83</v>
      </c>
      <c r="G72" s="238">
        <v>10.56</v>
      </c>
      <c r="H72" s="268"/>
      <c r="I72" s="243">
        <v>19.66</v>
      </c>
      <c r="J72" s="243">
        <v>19.66</v>
      </c>
      <c r="K72" s="243">
        <v>0</v>
      </c>
      <c r="L72" s="243">
        <v>0</v>
      </c>
      <c r="M72" s="243">
        <v>0</v>
      </c>
      <c r="N72" s="243">
        <v>0</v>
      </c>
      <c r="O72" s="243">
        <v>0</v>
      </c>
      <c r="P72" s="243">
        <v>0</v>
      </c>
      <c r="Q72" s="243">
        <v>0</v>
      </c>
      <c r="R72" s="243">
        <v>0</v>
      </c>
      <c r="S72" s="243">
        <v>0</v>
      </c>
      <c r="T72" s="243">
        <v>0</v>
      </c>
      <c r="U72" s="263">
        <f t="shared" si="42"/>
        <v>39.32</v>
      </c>
      <c r="W72" s="264">
        <f t="shared" si="43"/>
        <v>2</v>
      </c>
      <c r="X72" s="264">
        <f t="shared" si="44"/>
        <v>2</v>
      </c>
      <c r="Y72" s="264">
        <f t="shared" si="45"/>
        <v>0</v>
      </c>
      <c r="Z72" s="264">
        <f t="shared" si="46"/>
        <v>0</v>
      </c>
      <c r="AA72" s="264">
        <f t="shared" si="47"/>
        <v>0</v>
      </c>
      <c r="AB72" s="264">
        <f t="shared" si="48"/>
        <v>0</v>
      </c>
      <c r="AC72" s="264">
        <f t="shared" si="49"/>
        <v>0</v>
      </c>
      <c r="AD72" s="264">
        <f t="shared" si="50"/>
        <v>0</v>
      </c>
      <c r="AE72" s="264">
        <f t="shared" si="51"/>
        <v>0</v>
      </c>
      <c r="AF72" s="264">
        <f t="shared" si="52"/>
        <v>0</v>
      </c>
      <c r="AG72" s="264">
        <f t="shared" si="53"/>
        <v>0</v>
      </c>
      <c r="AH72" s="264">
        <f t="shared" si="54"/>
        <v>0</v>
      </c>
      <c r="AI72" s="265">
        <f>+IFERROR(AVERAGE(W72:AH72),0)</f>
        <v>0.33333333333333331</v>
      </c>
      <c r="AJ72" s="266">
        <f t="shared" si="55"/>
        <v>4</v>
      </c>
      <c r="AL72" s="241">
        <v>1</v>
      </c>
      <c r="AM72" s="240">
        <f t="shared" si="56"/>
        <v>0.33333333333333331</v>
      </c>
      <c r="AN72" s="241">
        <v>0</v>
      </c>
      <c r="AO72" s="240">
        <f t="shared" si="57"/>
        <v>0</v>
      </c>
      <c r="AP72" s="241">
        <v>0</v>
      </c>
      <c r="AQ72" s="240">
        <f t="shared" si="58"/>
        <v>0</v>
      </c>
    </row>
    <row r="73" spans="2:43" s="253" customFormat="1" ht="12" customHeight="1" x14ac:dyDescent="0.25">
      <c r="B73" s="241" t="str">
        <f>"ridge"&amp;"commercial"&amp;C73</f>
        <v>ridgecommercialOM64G</v>
      </c>
      <c r="C73" s="249" t="s">
        <v>1232</v>
      </c>
      <c r="D73" s="249" t="s">
        <v>1233</v>
      </c>
      <c r="E73" s="238">
        <v>9.83</v>
      </c>
      <c r="F73" s="238">
        <v>9.83</v>
      </c>
      <c r="G73" s="238">
        <v>10.56</v>
      </c>
      <c r="H73" s="268"/>
      <c r="I73" s="243">
        <v>9.83</v>
      </c>
      <c r="J73" s="243">
        <v>9.83</v>
      </c>
      <c r="K73" s="243">
        <v>0</v>
      </c>
      <c r="L73" s="243">
        <v>0</v>
      </c>
      <c r="M73" s="243">
        <v>0</v>
      </c>
      <c r="N73" s="243">
        <v>0</v>
      </c>
      <c r="O73" s="243">
        <v>0</v>
      </c>
      <c r="P73" s="243">
        <v>0</v>
      </c>
      <c r="Q73" s="243">
        <v>0</v>
      </c>
      <c r="R73" s="243">
        <v>0</v>
      </c>
      <c r="S73" s="243">
        <v>0</v>
      </c>
      <c r="T73" s="243">
        <v>0</v>
      </c>
      <c r="U73" s="263">
        <f t="shared" si="42"/>
        <v>19.66</v>
      </c>
      <c r="W73" s="264">
        <f t="shared" si="43"/>
        <v>1</v>
      </c>
      <c r="X73" s="264">
        <f t="shared" si="44"/>
        <v>1</v>
      </c>
      <c r="Y73" s="264">
        <f t="shared" si="45"/>
        <v>0</v>
      </c>
      <c r="Z73" s="264">
        <f t="shared" si="46"/>
        <v>0</v>
      </c>
      <c r="AA73" s="264">
        <f t="shared" si="47"/>
        <v>0</v>
      </c>
      <c r="AB73" s="264">
        <f t="shared" si="48"/>
        <v>0</v>
      </c>
      <c r="AC73" s="264">
        <f t="shared" si="49"/>
        <v>0</v>
      </c>
      <c r="AD73" s="264">
        <f t="shared" si="50"/>
        <v>0</v>
      </c>
      <c r="AE73" s="264">
        <f t="shared" si="51"/>
        <v>0</v>
      </c>
      <c r="AF73" s="264">
        <f t="shared" si="52"/>
        <v>0</v>
      </c>
      <c r="AG73" s="264">
        <f t="shared" si="53"/>
        <v>0</v>
      </c>
      <c r="AH73" s="264">
        <f t="shared" si="54"/>
        <v>0</v>
      </c>
      <c r="AI73" s="265">
        <f t="shared" si="59"/>
        <v>0.16666666666666666</v>
      </c>
      <c r="AJ73" s="266">
        <f t="shared" si="55"/>
        <v>2</v>
      </c>
      <c r="AL73" s="241">
        <v>1</v>
      </c>
      <c r="AM73" s="240">
        <f t="shared" si="56"/>
        <v>0.16666666666666666</v>
      </c>
      <c r="AN73" s="241">
        <v>0</v>
      </c>
      <c r="AO73" s="240">
        <f t="shared" si="57"/>
        <v>0</v>
      </c>
      <c r="AP73" s="241">
        <v>0</v>
      </c>
      <c r="AQ73" s="240">
        <f t="shared" si="58"/>
        <v>0</v>
      </c>
    </row>
    <row r="74" spans="2:43" s="253" customFormat="1" ht="12" customHeight="1" x14ac:dyDescent="0.25">
      <c r="B74" s="241" t="str">
        <f>"ridge"&amp;"commercial"&amp;C74</f>
        <v>ridgecommercialOM96G</v>
      </c>
      <c r="C74" s="249" t="s">
        <v>1234</v>
      </c>
      <c r="D74" s="249" t="s">
        <v>1235</v>
      </c>
      <c r="E74" s="238">
        <v>9.83</v>
      </c>
      <c r="F74" s="238">
        <v>9.83</v>
      </c>
      <c r="G74" s="238">
        <v>10.56</v>
      </c>
      <c r="H74" s="268"/>
      <c r="I74" s="243">
        <v>78.64</v>
      </c>
      <c r="J74" s="243">
        <v>78.64</v>
      </c>
      <c r="K74" s="243">
        <v>39.32</v>
      </c>
      <c r="L74" s="243">
        <v>39.32</v>
      </c>
      <c r="M74" s="243">
        <v>39.32</v>
      </c>
      <c r="N74" s="243">
        <v>39.32</v>
      </c>
      <c r="O74" s="243">
        <v>39.32</v>
      </c>
      <c r="P74" s="243">
        <v>39.32</v>
      </c>
      <c r="Q74" s="243">
        <v>39.32</v>
      </c>
      <c r="R74" s="243">
        <v>42.24</v>
      </c>
      <c r="S74" s="243">
        <v>42.24</v>
      </c>
      <c r="T74" s="243">
        <v>42.24</v>
      </c>
      <c r="U74" s="263">
        <f t="shared" si="42"/>
        <v>559.24</v>
      </c>
      <c r="W74" s="264">
        <f t="shared" si="43"/>
        <v>8</v>
      </c>
      <c r="X74" s="264">
        <f t="shared" si="44"/>
        <v>8</v>
      </c>
      <c r="Y74" s="264">
        <f t="shared" si="45"/>
        <v>4</v>
      </c>
      <c r="Z74" s="264">
        <f t="shared" si="46"/>
        <v>4</v>
      </c>
      <c r="AA74" s="264">
        <f t="shared" si="47"/>
        <v>4</v>
      </c>
      <c r="AB74" s="264">
        <f t="shared" si="48"/>
        <v>4</v>
      </c>
      <c r="AC74" s="264">
        <f t="shared" si="49"/>
        <v>4</v>
      </c>
      <c r="AD74" s="264">
        <f t="shared" si="50"/>
        <v>4</v>
      </c>
      <c r="AE74" s="264">
        <f t="shared" si="51"/>
        <v>4</v>
      </c>
      <c r="AF74" s="264">
        <f t="shared" si="52"/>
        <v>4</v>
      </c>
      <c r="AG74" s="264">
        <f t="shared" si="53"/>
        <v>4</v>
      </c>
      <c r="AH74" s="264">
        <f t="shared" si="54"/>
        <v>4</v>
      </c>
      <c r="AI74" s="265">
        <f>+IFERROR(AVERAGE(W74:AH74),0)</f>
        <v>4.666666666666667</v>
      </c>
      <c r="AJ74" s="266">
        <f t="shared" si="55"/>
        <v>56</v>
      </c>
      <c r="AL74" s="241">
        <v>1</v>
      </c>
      <c r="AM74" s="240">
        <f t="shared" si="56"/>
        <v>4.666666666666667</v>
      </c>
      <c r="AN74" s="241">
        <v>0</v>
      </c>
      <c r="AO74" s="240">
        <f t="shared" si="57"/>
        <v>0</v>
      </c>
      <c r="AP74" s="241">
        <v>0</v>
      </c>
      <c r="AQ74" s="240">
        <f t="shared" si="58"/>
        <v>0</v>
      </c>
    </row>
    <row r="75" spans="2:43" ht="12" customHeight="1" x14ac:dyDescent="0.2">
      <c r="B75" s="1" t="str">
        <f>"ridge"&amp;"residential Extras"&amp;C75</f>
        <v>ridgeresidential ExtrasYDX</v>
      </c>
      <c r="C75" s="58" t="s">
        <v>439</v>
      </c>
      <c r="D75" s="58" t="s">
        <v>449</v>
      </c>
      <c r="E75" s="11">
        <v>4</v>
      </c>
      <c r="F75" s="11">
        <v>4</v>
      </c>
      <c r="G75" s="11">
        <v>4.3</v>
      </c>
      <c r="H75" s="55"/>
      <c r="I75" s="14">
        <v>104</v>
      </c>
      <c r="J75" s="14">
        <v>248</v>
      </c>
      <c r="K75" s="14">
        <v>276</v>
      </c>
      <c r="L75" s="14">
        <v>68</v>
      </c>
      <c r="M75" s="14">
        <v>216</v>
      </c>
      <c r="N75" s="14">
        <v>88</v>
      </c>
      <c r="O75" s="14">
        <v>88</v>
      </c>
      <c r="P75" s="14">
        <v>176</v>
      </c>
      <c r="Q75" s="14">
        <v>44</v>
      </c>
      <c r="R75" s="14">
        <v>25.8</v>
      </c>
      <c r="S75" s="14">
        <v>21.5</v>
      </c>
      <c r="T75" s="14">
        <v>47.3</v>
      </c>
      <c r="U75" s="73">
        <f t="shared" si="42"/>
        <v>1402.6</v>
      </c>
      <c r="W75" s="48">
        <f t="shared" si="43"/>
        <v>26</v>
      </c>
      <c r="X75" s="48">
        <f t="shared" si="44"/>
        <v>62</v>
      </c>
      <c r="Y75" s="48">
        <f t="shared" si="45"/>
        <v>69</v>
      </c>
      <c r="Z75" s="48">
        <f t="shared" si="46"/>
        <v>17</v>
      </c>
      <c r="AA75" s="48">
        <f t="shared" si="47"/>
        <v>54</v>
      </c>
      <c r="AB75" s="48">
        <f t="shared" si="48"/>
        <v>22</v>
      </c>
      <c r="AC75" s="48">
        <f t="shared" si="49"/>
        <v>22</v>
      </c>
      <c r="AD75" s="48">
        <f t="shared" si="50"/>
        <v>44</v>
      </c>
      <c r="AE75" s="48">
        <f t="shared" si="51"/>
        <v>11</v>
      </c>
      <c r="AF75" s="48">
        <f t="shared" si="52"/>
        <v>6</v>
      </c>
      <c r="AG75" s="48">
        <f t="shared" si="53"/>
        <v>5</v>
      </c>
      <c r="AH75" s="48">
        <f t="shared" si="54"/>
        <v>11</v>
      </c>
      <c r="AI75" s="47">
        <f>+IFERROR(AVERAGE(W75:AH75),0)</f>
        <v>29.083333333333332</v>
      </c>
      <c r="AJ75" s="134">
        <f>SUM(W75:AH75)</f>
        <v>349</v>
      </c>
      <c r="AL75" s="212">
        <v>0</v>
      </c>
      <c r="AM75" s="25">
        <f t="shared" si="56"/>
        <v>0</v>
      </c>
      <c r="AN75" s="212">
        <v>0</v>
      </c>
      <c r="AO75" s="25">
        <f t="shared" si="57"/>
        <v>0</v>
      </c>
      <c r="AP75" s="212">
        <v>0</v>
      </c>
      <c r="AQ75" s="25">
        <f>+$AI75*AP75</f>
        <v>0</v>
      </c>
    </row>
    <row r="76" spans="2:43" ht="12" customHeight="1" x14ac:dyDescent="0.2">
      <c r="B76" s="1" t="str">
        <f>"ridge"&amp;"residential Extras"&amp;C76</f>
        <v>ridgeresidential ExtrasYDPLACE</v>
      </c>
      <c r="C76" s="58" t="s">
        <v>443</v>
      </c>
      <c r="D76" s="58" t="s">
        <v>453</v>
      </c>
      <c r="E76" s="11">
        <v>7.46</v>
      </c>
      <c r="F76" s="11">
        <v>7.46</v>
      </c>
      <c r="G76" s="11">
        <v>8.01</v>
      </c>
      <c r="H76" s="55"/>
      <c r="I76" s="14">
        <v>44.76</v>
      </c>
      <c r="J76" s="14">
        <v>59.68</v>
      </c>
      <c r="K76" s="14">
        <v>14.92</v>
      </c>
      <c r="L76" s="14">
        <v>0</v>
      </c>
      <c r="M76" s="14">
        <v>0</v>
      </c>
      <c r="N76" s="14">
        <v>0</v>
      </c>
      <c r="O76" s="14">
        <v>14.92</v>
      </c>
      <c r="P76" s="14">
        <v>0</v>
      </c>
      <c r="Q76" s="14">
        <v>0</v>
      </c>
      <c r="R76" s="14">
        <v>0</v>
      </c>
      <c r="S76" s="14">
        <v>16.02</v>
      </c>
      <c r="T76" s="14">
        <v>64.08</v>
      </c>
      <c r="U76" s="73">
        <f t="shared" si="42"/>
        <v>214.38</v>
      </c>
      <c r="W76" s="48">
        <f t="shared" si="43"/>
        <v>6</v>
      </c>
      <c r="X76" s="48">
        <f t="shared" si="44"/>
        <v>8</v>
      </c>
      <c r="Y76" s="48">
        <f t="shared" si="45"/>
        <v>2</v>
      </c>
      <c r="Z76" s="48">
        <f t="shared" si="46"/>
        <v>0</v>
      </c>
      <c r="AA76" s="48">
        <f t="shared" si="47"/>
        <v>0</v>
      </c>
      <c r="AB76" s="48">
        <f t="shared" si="48"/>
        <v>0</v>
      </c>
      <c r="AC76" s="48">
        <f t="shared" si="49"/>
        <v>2</v>
      </c>
      <c r="AD76" s="48">
        <f t="shared" si="50"/>
        <v>0</v>
      </c>
      <c r="AE76" s="48">
        <f t="shared" si="51"/>
        <v>0</v>
      </c>
      <c r="AF76" s="48">
        <f t="shared" si="52"/>
        <v>0</v>
      </c>
      <c r="AG76" s="48">
        <f t="shared" si="53"/>
        <v>2</v>
      </c>
      <c r="AH76" s="48">
        <f t="shared" si="54"/>
        <v>8</v>
      </c>
      <c r="AI76" s="47">
        <f>+IFERROR(AVERAGE(W76:AH76),0)</f>
        <v>2.3333333333333335</v>
      </c>
      <c r="AJ76" s="134">
        <f>SUM(W76:AH76)</f>
        <v>28</v>
      </c>
      <c r="AL76" s="212">
        <v>0</v>
      </c>
      <c r="AM76" s="25">
        <f t="shared" si="56"/>
        <v>0</v>
      </c>
      <c r="AN76" s="212">
        <v>0</v>
      </c>
      <c r="AO76" s="25">
        <f t="shared" si="57"/>
        <v>0</v>
      </c>
      <c r="AP76" s="212">
        <v>0</v>
      </c>
      <c r="AQ76" s="25">
        <f>+$AI76*AP76</f>
        <v>0</v>
      </c>
    </row>
    <row r="77" spans="2:43" ht="12" customHeight="1" x14ac:dyDescent="0.2">
      <c r="E77" s="11"/>
      <c r="F77" s="11"/>
      <c r="G77" s="11"/>
      <c r="H77" s="77"/>
      <c r="I77" s="78"/>
      <c r="L77" s="73"/>
    </row>
    <row r="78" spans="2:43" ht="12" customHeight="1" x14ac:dyDescent="0.2">
      <c r="D78" s="52" t="s">
        <v>8</v>
      </c>
      <c r="E78" s="11"/>
      <c r="F78" s="11"/>
      <c r="G78" s="11"/>
      <c r="H78" s="77"/>
      <c r="I78" s="74">
        <f>SUM(I67:I77)</f>
        <v>24989.03</v>
      </c>
      <c r="J78" s="74">
        <f t="shared" ref="J78:U78" si="60">SUM(J67:J77)</f>
        <v>25622.17</v>
      </c>
      <c r="K78" s="74">
        <f t="shared" si="60"/>
        <v>25919.649999999998</v>
      </c>
      <c r="L78" s="74">
        <f t="shared" si="60"/>
        <v>25930.52</v>
      </c>
      <c r="M78" s="74">
        <f t="shared" si="60"/>
        <v>26325.08</v>
      </c>
      <c r="N78" s="74">
        <f t="shared" si="60"/>
        <v>26284.270000000004</v>
      </c>
      <c r="O78" s="74">
        <f t="shared" si="60"/>
        <v>26314.769999999997</v>
      </c>
      <c r="P78" s="74">
        <f t="shared" si="60"/>
        <v>26245.71</v>
      </c>
      <c r="Q78" s="74">
        <f t="shared" si="60"/>
        <v>26044.44</v>
      </c>
      <c r="R78" s="74">
        <f t="shared" si="60"/>
        <v>27934.92</v>
      </c>
      <c r="S78" s="74">
        <f t="shared" si="60"/>
        <v>27912.550000000003</v>
      </c>
      <c r="T78" s="74">
        <f t="shared" si="60"/>
        <v>28161.380000000005</v>
      </c>
      <c r="U78" s="74">
        <f t="shared" si="60"/>
        <v>317684.48999999993</v>
      </c>
      <c r="W78" s="185">
        <f>SUM(W67:W74)</f>
        <v>2526.9857578840283</v>
      </c>
      <c r="X78" s="185">
        <f t="shared" ref="X78:AJ78" si="61">SUM(X67:X74)</f>
        <v>2575.2278738555437</v>
      </c>
      <c r="Y78" s="185">
        <f t="shared" si="61"/>
        <v>2607.195320447609</v>
      </c>
      <c r="Z78" s="185">
        <f t="shared" si="61"/>
        <v>2630.9786368260429</v>
      </c>
      <c r="AA78" s="185">
        <f t="shared" si="61"/>
        <v>2656.0610376398781</v>
      </c>
      <c r="AB78" s="185">
        <f t="shared" si="61"/>
        <v>2664.9308240081391</v>
      </c>
      <c r="AC78" s="185">
        <f t="shared" si="61"/>
        <v>2666.5157680569687</v>
      </c>
      <c r="AD78" s="185">
        <f t="shared" si="61"/>
        <v>2652.0559511698884</v>
      </c>
      <c r="AE78" s="185">
        <f t="shared" si="61"/>
        <v>2645.0091556459815</v>
      </c>
      <c r="AF78" s="185">
        <f t="shared" si="61"/>
        <v>2642.909090909091</v>
      </c>
      <c r="AG78" s="185">
        <f t="shared" si="61"/>
        <v>2639.680871212121</v>
      </c>
      <c r="AH78" s="185">
        <f t="shared" si="61"/>
        <v>2656.25</v>
      </c>
      <c r="AI78" s="185">
        <f t="shared" si="61"/>
        <v>2630.3166906379406</v>
      </c>
      <c r="AJ78" s="185">
        <f t="shared" si="61"/>
        <v>31563.800287655293</v>
      </c>
      <c r="AM78" s="186">
        <f>SUM(AM67:AM74)</f>
        <v>2630.3166906379406</v>
      </c>
      <c r="AO78" s="186">
        <f>SUM(AO67:AO74)</f>
        <v>0</v>
      </c>
      <c r="AQ78" s="186">
        <f>SUM(AQ67:AQ74)</f>
        <v>0</v>
      </c>
    </row>
    <row r="79" spans="2:43" ht="12" customHeight="1" x14ac:dyDescent="0.25">
      <c r="E79" s="11"/>
      <c r="F79" s="11"/>
      <c r="G79" s="11"/>
      <c r="H79" s="55"/>
      <c r="I79" s="46"/>
      <c r="J79" s="49" t="str">
        <f>IF(H79="","",(#REF!/H79)+(#REF!/#REF!))</f>
        <v/>
      </c>
      <c r="K79" s="49" t="str">
        <f>IF(H79="","",J79/12)</f>
        <v/>
      </c>
      <c r="U79" s="73"/>
      <c r="W79"/>
      <c r="X79"/>
      <c r="Y79"/>
      <c r="Z79"/>
      <c r="AA79"/>
      <c r="AB79"/>
      <c r="AC79"/>
      <c r="AD79"/>
      <c r="AE79"/>
      <c r="AF79"/>
      <c r="AG79"/>
      <c r="AH79"/>
      <c r="AI79"/>
      <c r="AJ79"/>
      <c r="AK79"/>
    </row>
    <row r="80" spans="2:43" ht="12" customHeight="1" x14ac:dyDescent="0.25">
      <c r="C80" s="70" t="s">
        <v>9</v>
      </c>
      <c r="D80" s="70" t="s">
        <v>9</v>
      </c>
      <c r="E80" s="11"/>
      <c r="F80" s="11"/>
      <c r="G80" s="11"/>
      <c r="H80" s="55"/>
      <c r="I80" s="46"/>
      <c r="J80" s="49" t="str">
        <f>IF(H80="","",(#REF!/H80)+(#REF!/#REF!))</f>
        <v/>
      </c>
      <c r="K80" s="49" t="str">
        <f>IF(H80="","",J80/12)</f>
        <v/>
      </c>
      <c r="U80" s="73"/>
      <c r="W80"/>
      <c r="X80"/>
      <c r="Y80"/>
      <c r="Z80"/>
      <c r="AA80"/>
      <c r="AB80"/>
      <c r="AC80"/>
      <c r="AD80"/>
      <c r="AE80"/>
      <c r="AF80"/>
      <c r="AG80"/>
      <c r="AH80"/>
      <c r="AI80"/>
      <c r="AJ80"/>
      <c r="AK80"/>
    </row>
    <row r="81" spans="2:43" ht="12" customHeight="1" x14ac:dyDescent="0.25">
      <c r="C81" s="70"/>
      <c r="D81" s="70"/>
      <c r="E81" s="11"/>
      <c r="F81" s="11"/>
      <c r="G81" s="11"/>
      <c r="H81" s="55"/>
      <c r="I81" s="46"/>
      <c r="J81" s="49" t="str">
        <f>IF(H81="","",(#REF!/H81)+(#REF!/#REF!))</f>
        <v/>
      </c>
      <c r="K81" s="49" t="str">
        <f>IF(H81="","",J81/12)</f>
        <v/>
      </c>
      <c r="U81" s="73"/>
      <c r="W81"/>
      <c r="X81"/>
      <c r="Y81"/>
      <c r="Z81"/>
      <c r="AA81"/>
      <c r="AB81"/>
      <c r="AC81"/>
      <c r="AD81"/>
      <c r="AE81"/>
      <c r="AF81"/>
      <c r="AG81"/>
      <c r="AH81"/>
      <c r="AI81"/>
      <c r="AJ81"/>
      <c r="AK81"/>
    </row>
    <row r="82" spans="2:43" ht="12" customHeight="1" x14ac:dyDescent="0.25">
      <c r="C82" s="42" t="s">
        <v>10</v>
      </c>
      <c r="D82" s="42" t="s">
        <v>10</v>
      </c>
      <c r="E82" s="11"/>
      <c r="F82" s="11"/>
      <c r="G82" s="11"/>
      <c r="H82" s="55"/>
      <c r="I82" s="46"/>
      <c r="J82" s="49" t="str">
        <f>IF(H82="","",(#REF!/H82)+(#REF!/#REF!))</f>
        <v/>
      </c>
      <c r="K82" s="49" t="str">
        <f>IF(H82="","",J82/12)</f>
        <v/>
      </c>
      <c r="U82" s="73"/>
      <c r="W82"/>
      <c r="X82"/>
      <c r="Y82"/>
      <c r="Z82"/>
      <c r="AA82"/>
      <c r="AB82"/>
      <c r="AC82"/>
      <c r="AD82"/>
      <c r="AE82"/>
      <c r="AF82"/>
      <c r="AG82"/>
      <c r="AH82"/>
      <c r="AI82"/>
      <c r="AJ82"/>
      <c r="AK82"/>
    </row>
    <row r="83" spans="2:43" s="253" customFormat="1" ht="12" customHeight="1" x14ac:dyDescent="0.2">
      <c r="B83" s="241" t="str">
        <f>"ridge"&amp;"commercial"&amp;C83</f>
        <v>ridgecommercialRC15Y1W</v>
      </c>
      <c r="C83" s="232" t="s">
        <v>686</v>
      </c>
      <c r="D83" s="232" t="s">
        <v>213</v>
      </c>
      <c r="E83" s="238">
        <v>139.93</v>
      </c>
      <c r="F83" s="238">
        <v>139.93</v>
      </c>
      <c r="G83" s="238">
        <v>150.28</v>
      </c>
      <c r="H83" s="261"/>
      <c r="I83" s="243">
        <v>839.58</v>
      </c>
      <c r="J83" s="243">
        <v>839.58</v>
      </c>
      <c r="K83" s="243">
        <v>839.58</v>
      </c>
      <c r="L83" s="243">
        <v>839.58</v>
      </c>
      <c r="M83" s="243">
        <v>839.58</v>
      </c>
      <c r="N83" s="243">
        <v>839.58</v>
      </c>
      <c r="O83" s="243">
        <v>839.58</v>
      </c>
      <c r="P83" s="243">
        <v>839.58</v>
      </c>
      <c r="Q83" s="243">
        <v>839.58</v>
      </c>
      <c r="R83" s="243">
        <v>901.68</v>
      </c>
      <c r="S83" s="243">
        <v>901.68</v>
      </c>
      <c r="T83" s="243">
        <v>901.68</v>
      </c>
      <c r="U83" s="263">
        <f t="shared" ref="U83:U121" si="62">SUM(I83:T83)</f>
        <v>10261.26</v>
      </c>
      <c r="W83" s="264">
        <f t="shared" ref="W83:W121" si="63">IFERROR(I83/$E83,0)</f>
        <v>6</v>
      </c>
      <c r="X83" s="264">
        <f t="shared" ref="X83:X121" si="64">IFERROR(J83/$E83,0)</f>
        <v>6</v>
      </c>
      <c r="Y83" s="264">
        <f t="shared" ref="Y83:Y121" si="65">IFERROR(K83/$E83,0)</f>
        <v>6</v>
      </c>
      <c r="Z83" s="264">
        <f t="shared" ref="Z83:Z121" si="66">IFERROR(L83/$F83,0)</f>
        <v>6</v>
      </c>
      <c r="AA83" s="264">
        <f t="shared" ref="AA83:AA121" si="67">IFERROR(M83/$F83,0)</f>
        <v>6</v>
      </c>
      <c r="AB83" s="264">
        <f t="shared" ref="AB83:AB121" si="68">IFERROR(N83/$F83,0)</f>
        <v>6</v>
      </c>
      <c r="AC83" s="264">
        <f t="shared" ref="AC83:AC121" si="69">IFERROR(O83/$F83,0)</f>
        <v>6</v>
      </c>
      <c r="AD83" s="264">
        <f t="shared" ref="AD83:AD121" si="70">IFERROR(P83/$F83,0)</f>
        <v>6</v>
      </c>
      <c r="AE83" s="264">
        <f t="shared" ref="AE83:AE121" si="71">IFERROR(Q83/$F83,0)</f>
        <v>6</v>
      </c>
      <c r="AF83" s="264">
        <f t="shared" ref="AF83:AF121" si="72">IFERROR(R83/$G83,0)</f>
        <v>6</v>
      </c>
      <c r="AG83" s="264">
        <f t="shared" ref="AG83:AG121" si="73">IFERROR(S83/$G83,0)</f>
        <v>6</v>
      </c>
      <c r="AH83" s="264">
        <f t="shared" ref="AH83:AH121" si="74">IFERROR(T83/$G83,0)</f>
        <v>6</v>
      </c>
      <c r="AI83" s="265">
        <f t="shared" ref="AI83:AI121" si="75">+IFERROR(AVERAGE(W83:AH83),0)</f>
        <v>6</v>
      </c>
      <c r="AJ83" s="266">
        <f t="shared" ref="AJ83:AJ121" si="76">SUM(W83:AH83)</f>
        <v>72</v>
      </c>
      <c r="AL83" s="241">
        <v>0</v>
      </c>
      <c r="AM83" s="240">
        <f>+$AI83*AL83</f>
        <v>0</v>
      </c>
      <c r="AN83" s="241">
        <v>1</v>
      </c>
      <c r="AO83" s="240">
        <f t="shared" ref="AO83:AO101" si="77">+$AI83*AN83</f>
        <v>6</v>
      </c>
      <c r="AP83" s="241">
        <v>0</v>
      </c>
      <c r="AQ83" s="240">
        <f t="shared" ref="AQ83:AQ101" si="78">+$AI83*AP83</f>
        <v>0</v>
      </c>
    </row>
    <row r="84" spans="2:43" s="253" customFormat="1" ht="12" customHeight="1" x14ac:dyDescent="0.2">
      <c r="B84" s="241" t="str">
        <f t="shared" ref="B84:B121" si="79">"ridge"&amp;"commercial"&amp;C84</f>
        <v>ridgecommercialRC1Y1W</v>
      </c>
      <c r="C84" s="232" t="s">
        <v>687</v>
      </c>
      <c r="D84" s="232" t="s">
        <v>210</v>
      </c>
      <c r="E84" s="238">
        <v>113.44</v>
      </c>
      <c r="F84" s="238">
        <v>113.44</v>
      </c>
      <c r="G84" s="238">
        <v>121.83</v>
      </c>
      <c r="H84" s="261"/>
      <c r="I84" s="243">
        <v>1474.72</v>
      </c>
      <c r="J84" s="243">
        <v>1474.72</v>
      </c>
      <c r="K84" s="243">
        <v>1418</v>
      </c>
      <c r="L84" s="243">
        <v>1361.28</v>
      </c>
      <c r="M84" s="243">
        <v>1361.28</v>
      </c>
      <c r="N84" s="243">
        <v>1361.28</v>
      </c>
      <c r="O84" s="243">
        <v>1361.28</v>
      </c>
      <c r="P84" s="243">
        <v>1361.28</v>
      </c>
      <c r="Q84" s="243">
        <v>1361.28</v>
      </c>
      <c r="R84" s="243">
        <v>1461.96</v>
      </c>
      <c r="S84" s="243">
        <v>1461.96</v>
      </c>
      <c r="T84" s="243">
        <v>1461.96</v>
      </c>
      <c r="U84" s="263">
        <f t="shared" si="62"/>
        <v>16921</v>
      </c>
      <c r="W84" s="264">
        <f t="shared" si="63"/>
        <v>13</v>
      </c>
      <c r="X84" s="264">
        <f t="shared" si="64"/>
        <v>13</v>
      </c>
      <c r="Y84" s="264">
        <f t="shared" si="65"/>
        <v>12.5</v>
      </c>
      <c r="Z84" s="264">
        <f t="shared" si="66"/>
        <v>12</v>
      </c>
      <c r="AA84" s="264">
        <f t="shared" si="67"/>
        <v>12</v>
      </c>
      <c r="AB84" s="264">
        <f t="shared" si="68"/>
        <v>12</v>
      </c>
      <c r="AC84" s="264">
        <f t="shared" si="69"/>
        <v>12</v>
      </c>
      <c r="AD84" s="264">
        <f t="shared" si="70"/>
        <v>12</v>
      </c>
      <c r="AE84" s="264">
        <f t="shared" si="71"/>
        <v>12</v>
      </c>
      <c r="AF84" s="264">
        <f t="shared" si="72"/>
        <v>12</v>
      </c>
      <c r="AG84" s="264">
        <f t="shared" si="73"/>
        <v>12</v>
      </c>
      <c r="AH84" s="264">
        <f t="shared" si="74"/>
        <v>12</v>
      </c>
      <c r="AI84" s="265">
        <f t="shared" si="75"/>
        <v>12.208333333333334</v>
      </c>
      <c r="AJ84" s="266">
        <f t="shared" si="76"/>
        <v>146.5</v>
      </c>
      <c r="AL84" s="241">
        <v>0</v>
      </c>
      <c r="AM84" s="240">
        <f>+$AI84*AL84</f>
        <v>0</v>
      </c>
      <c r="AN84" s="241">
        <v>1</v>
      </c>
      <c r="AO84" s="240">
        <f t="shared" si="77"/>
        <v>12.208333333333334</v>
      </c>
      <c r="AP84" s="241">
        <v>0</v>
      </c>
      <c r="AQ84" s="240">
        <f t="shared" si="78"/>
        <v>0</v>
      </c>
    </row>
    <row r="85" spans="2:43" s="253" customFormat="1" ht="12" customHeight="1" x14ac:dyDescent="0.2">
      <c r="B85" s="241" t="str">
        <f>"ridge"&amp;"commercial"&amp;C85</f>
        <v>ridgecommercialRC2Y1W</v>
      </c>
      <c r="C85" s="232" t="s">
        <v>688</v>
      </c>
      <c r="D85" s="232" t="s">
        <v>216</v>
      </c>
      <c r="E85" s="238">
        <v>178.92</v>
      </c>
      <c r="F85" s="238">
        <v>178.92</v>
      </c>
      <c r="G85" s="238">
        <v>192.16</v>
      </c>
      <c r="H85" s="261"/>
      <c r="I85" s="243">
        <v>3757.32</v>
      </c>
      <c r="J85" s="243">
        <v>3936.24</v>
      </c>
      <c r="K85" s="243">
        <v>3578.4</v>
      </c>
      <c r="L85" s="243">
        <v>3757.32</v>
      </c>
      <c r="M85" s="243">
        <v>3578.4</v>
      </c>
      <c r="N85" s="243">
        <v>3399.48</v>
      </c>
      <c r="O85" s="243">
        <v>3399.48</v>
      </c>
      <c r="P85" s="243">
        <v>3399.48</v>
      </c>
      <c r="Q85" s="243">
        <v>3399.48</v>
      </c>
      <c r="R85" s="243">
        <v>3795.16</v>
      </c>
      <c r="S85" s="243">
        <v>3843.2</v>
      </c>
      <c r="T85" s="243">
        <v>4035.36</v>
      </c>
      <c r="U85" s="263">
        <f>SUM(I85:T85)</f>
        <v>43879.319999999992</v>
      </c>
      <c r="W85" s="264">
        <f t="shared" si="63"/>
        <v>21.000000000000004</v>
      </c>
      <c r="X85" s="264">
        <f t="shared" si="64"/>
        <v>22</v>
      </c>
      <c r="Y85" s="264">
        <f t="shared" si="65"/>
        <v>20.000000000000004</v>
      </c>
      <c r="Z85" s="264">
        <f t="shared" si="66"/>
        <v>21.000000000000004</v>
      </c>
      <c r="AA85" s="264">
        <f t="shared" si="67"/>
        <v>20.000000000000004</v>
      </c>
      <c r="AB85" s="264">
        <f t="shared" si="68"/>
        <v>19</v>
      </c>
      <c r="AC85" s="264">
        <f t="shared" si="69"/>
        <v>19</v>
      </c>
      <c r="AD85" s="264">
        <f t="shared" si="70"/>
        <v>19</v>
      </c>
      <c r="AE85" s="264">
        <f t="shared" si="71"/>
        <v>19</v>
      </c>
      <c r="AF85" s="264">
        <f t="shared" si="72"/>
        <v>19.75</v>
      </c>
      <c r="AG85" s="264">
        <f t="shared" si="73"/>
        <v>20</v>
      </c>
      <c r="AH85" s="264">
        <f t="shared" si="74"/>
        <v>21</v>
      </c>
      <c r="AI85" s="265">
        <f t="shared" si="75"/>
        <v>20.0625</v>
      </c>
      <c r="AJ85" s="266">
        <f t="shared" si="76"/>
        <v>240.75</v>
      </c>
      <c r="AL85" s="241">
        <v>0</v>
      </c>
      <c r="AM85" s="240">
        <f>+$AI85*AL85</f>
        <v>0</v>
      </c>
      <c r="AN85" s="241">
        <v>1</v>
      </c>
      <c r="AO85" s="240">
        <f t="shared" si="77"/>
        <v>20.0625</v>
      </c>
      <c r="AP85" s="241">
        <v>0</v>
      </c>
      <c r="AQ85" s="240">
        <f t="shared" si="78"/>
        <v>0</v>
      </c>
    </row>
    <row r="86" spans="2:43" s="253" customFormat="1" ht="12" customHeight="1" x14ac:dyDescent="0.2">
      <c r="B86" s="241" t="str">
        <f t="shared" si="79"/>
        <v>ridgecommercialRC2Y2W</v>
      </c>
      <c r="C86" s="232" t="s">
        <v>1090</v>
      </c>
      <c r="D86" s="232" t="s">
        <v>217</v>
      </c>
      <c r="E86" s="238">
        <v>357.84</v>
      </c>
      <c r="F86" s="238">
        <v>357.84</v>
      </c>
      <c r="G86" s="238">
        <v>384.32</v>
      </c>
      <c r="H86" s="261"/>
      <c r="I86" s="243">
        <v>0</v>
      </c>
      <c r="J86" s="243">
        <v>0</v>
      </c>
      <c r="K86" s="243">
        <v>0</v>
      </c>
      <c r="L86" s="243">
        <v>0</v>
      </c>
      <c r="M86" s="243">
        <v>0</v>
      </c>
      <c r="N86" s="243">
        <v>0</v>
      </c>
      <c r="O86" s="243">
        <v>0</v>
      </c>
      <c r="P86" s="243">
        <v>0</v>
      </c>
      <c r="Q86" s="243">
        <v>0</v>
      </c>
      <c r="R86" s="243">
        <v>0</v>
      </c>
      <c r="S86" s="243">
        <v>0</v>
      </c>
      <c r="T86" s="243">
        <v>0</v>
      </c>
      <c r="U86" s="263">
        <f t="shared" si="62"/>
        <v>0</v>
      </c>
      <c r="W86" s="264">
        <f t="shared" si="63"/>
        <v>0</v>
      </c>
      <c r="X86" s="264">
        <f t="shared" si="64"/>
        <v>0</v>
      </c>
      <c r="Y86" s="264">
        <f t="shared" si="65"/>
        <v>0</v>
      </c>
      <c r="Z86" s="264">
        <f t="shared" si="66"/>
        <v>0</v>
      </c>
      <c r="AA86" s="264">
        <f t="shared" si="67"/>
        <v>0</v>
      </c>
      <c r="AB86" s="264">
        <f t="shared" si="68"/>
        <v>0</v>
      </c>
      <c r="AC86" s="264">
        <f t="shared" si="69"/>
        <v>0</v>
      </c>
      <c r="AD86" s="264">
        <f t="shared" si="70"/>
        <v>0</v>
      </c>
      <c r="AE86" s="264">
        <f t="shared" si="71"/>
        <v>0</v>
      </c>
      <c r="AF86" s="264">
        <f t="shared" si="72"/>
        <v>0</v>
      </c>
      <c r="AG86" s="264">
        <f t="shared" si="73"/>
        <v>0</v>
      </c>
      <c r="AH86" s="264">
        <f t="shared" si="74"/>
        <v>0</v>
      </c>
      <c r="AI86" s="265">
        <f t="shared" si="75"/>
        <v>0</v>
      </c>
      <c r="AJ86" s="266">
        <f t="shared" si="76"/>
        <v>0</v>
      </c>
      <c r="AL86" s="241">
        <v>0</v>
      </c>
      <c r="AM86" s="240">
        <f>+$AI86*AL86</f>
        <v>0</v>
      </c>
      <c r="AN86" s="241">
        <v>1</v>
      </c>
      <c r="AO86" s="240">
        <f t="shared" si="77"/>
        <v>0</v>
      </c>
      <c r="AP86" s="241">
        <v>0</v>
      </c>
      <c r="AQ86" s="240">
        <f t="shared" si="78"/>
        <v>0</v>
      </c>
    </row>
    <row r="87" spans="2:43" s="253" customFormat="1" ht="12" customHeight="1" x14ac:dyDescent="0.2">
      <c r="B87" s="241" t="str">
        <f t="shared" si="79"/>
        <v>ridgecommercialRC3Y1W</v>
      </c>
      <c r="C87" s="232" t="s">
        <v>689</v>
      </c>
      <c r="D87" s="232" t="s">
        <v>222</v>
      </c>
      <c r="E87" s="238">
        <v>233.54</v>
      </c>
      <c r="F87" s="238">
        <v>233.54</v>
      </c>
      <c r="G87" s="238">
        <v>250.82</v>
      </c>
      <c r="H87" s="261"/>
      <c r="I87" s="243">
        <v>2568.94</v>
      </c>
      <c r="J87" s="243">
        <v>2568.94</v>
      </c>
      <c r="K87" s="243">
        <v>2802.48</v>
      </c>
      <c r="L87" s="243">
        <v>2860.86</v>
      </c>
      <c r="M87" s="243">
        <v>3036.02</v>
      </c>
      <c r="N87" s="243">
        <v>3036.02</v>
      </c>
      <c r="O87" s="243">
        <v>2744.11</v>
      </c>
      <c r="P87" s="243">
        <v>2568.94</v>
      </c>
      <c r="Q87" s="243">
        <v>2568.94</v>
      </c>
      <c r="R87" s="243">
        <v>2759.02</v>
      </c>
      <c r="S87" s="243">
        <v>2759.02</v>
      </c>
      <c r="T87" s="243">
        <v>2759.02</v>
      </c>
      <c r="U87" s="263">
        <f t="shared" si="62"/>
        <v>33032.31</v>
      </c>
      <c r="W87" s="264">
        <f t="shared" si="63"/>
        <v>11</v>
      </c>
      <c r="X87" s="264">
        <f t="shared" si="64"/>
        <v>11</v>
      </c>
      <c r="Y87" s="264">
        <f t="shared" si="65"/>
        <v>12</v>
      </c>
      <c r="Z87" s="264">
        <f t="shared" si="66"/>
        <v>12.249978590391368</v>
      </c>
      <c r="AA87" s="264">
        <f t="shared" si="67"/>
        <v>13</v>
      </c>
      <c r="AB87" s="264">
        <f t="shared" si="68"/>
        <v>13</v>
      </c>
      <c r="AC87" s="264">
        <f t="shared" si="69"/>
        <v>11.750064228825899</v>
      </c>
      <c r="AD87" s="264">
        <f t="shared" si="70"/>
        <v>11</v>
      </c>
      <c r="AE87" s="264">
        <f t="shared" si="71"/>
        <v>11</v>
      </c>
      <c r="AF87" s="264">
        <f t="shared" si="72"/>
        <v>11</v>
      </c>
      <c r="AG87" s="264">
        <f t="shared" si="73"/>
        <v>11</v>
      </c>
      <c r="AH87" s="264">
        <f t="shared" si="74"/>
        <v>11</v>
      </c>
      <c r="AI87" s="265">
        <f t="shared" si="75"/>
        <v>11.58333690160144</v>
      </c>
      <c r="AJ87" s="266">
        <f t="shared" si="76"/>
        <v>139.00004281921727</v>
      </c>
      <c r="AL87" s="241">
        <v>0</v>
      </c>
      <c r="AM87" s="240">
        <f>+$AI87*AL87</f>
        <v>0</v>
      </c>
      <c r="AN87" s="241">
        <v>1</v>
      </c>
      <c r="AO87" s="240">
        <f t="shared" si="77"/>
        <v>11.58333690160144</v>
      </c>
      <c r="AP87" s="241">
        <v>0</v>
      </c>
      <c r="AQ87" s="240">
        <f t="shared" si="78"/>
        <v>0</v>
      </c>
    </row>
    <row r="88" spans="2:43" s="253" customFormat="1" ht="12" customHeight="1" x14ac:dyDescent="0.2">
      <c r="B88" s="241" t="str">
        <f>"ridge"&amp;"commercial"&amp;C88</f>
        <v>ridgecommercialVRABIN</v>
      </c>
      <c r="C88" s="232" t="s">
        <v>808</v>
      </c>
      <c r="D88" s="232" t="s">
        <v>856</v>
      </c>
      <c r="E88" s="238">
        <v>256.8</v>
      </c>
      <c r="F88" s="238">
        <v>256.8</v>
      </c>
      <c r="G88" s="238">
        <v>275.8</v>
      </c>
      <c r="H88" s="261"/>
      <c r="I88" s="243">
        <v>0</v>
      </c>
      <c r="J88" s="243">
        <v>0</v>
      </c>
      <c r="K88" s="243">
        <v>256.8</v>
      </c>
      <c r="L88" s="243">
        <v>256.8</v>
      </c>
      <c r="M88" s="243">
        <v>0</v>
      </c>
      <c r="N88" s="243">
        <v>0</v>
      </c>
      <c r="O88" s="243">
        <v>770.4</v>
      </c>
      <c r="P88" s="243">
        <v>0</v>
      </c>
      <c r="Q88" s="243">
        <v>0</v>
      </c>
      <c r="R88" s="243">
        <v>275.8</v>
      </c>
      <c r="S88" s="243">
        <v>0</v>
      </c>
      <c r="T88" s="243">
        <v>275.8</v>
      </c>
      <c r="U88" s="263">
        <f>SUM(I88:T88)</f>
        <v>1835.6</v>
      </c>
      <c r="W88" s="264">
        <f t="shared" si="63"/>
        <v>0</v>
      </c>
      <c r="X88" s="264">
        <f t="shared" si="64"/>
        <v>0</v>
      </c>
      <c r="Y88" s="264">
        <f t="shared" si="65"/>
        <v>1</v>
      </c>
      <c r="Z88" s="264">
        <f t="shared" si="66"/>
        <v>1</v>
      </c>
      <c r="AA88" s="264">
        <f t="shared" si="67"/>
        <v>0</v>
      </c>
      <c r="AB88" s="264">
        <f t="shared" si="68"/>
        <v>0</v>
      </c>
      <c r="AC88" s="264">
        <f t="shared" si="69"/>
        <v>3</v>
      </c>
      <c r="AD88" s="264">
        <f t="shared" si="70"/>
        <v>0</v>
      </c>
      <c r="AE88" s="264">
        <f t="shared" si="71"/>
        <v>0</v>
      </c>
      <c r="AF88" s="264">
        <f t="shared" si="72"/>
        <v>1</v>
      </c>
      <c r="AG88" s="264">
        <f t="shared" si="73"/>
        <v>0</v>
      </c>
      <c r="AH88" s="264">
        <f t="shared" si="74"/>
        <v>1</v>
      </c>
      <c r="AI88" s="265">
        <f>+IFERROR(AVERAGE(W88:AH88),0)</f>
        <v>0.58333333333333337</v>
      </c>
      <c r="AJ88" s="266">
        <f>SUM(W88:AH88)</f>
        <v>7</v>
      </c>
      <c r="AN88" s="253">
        <v>1</v>
      </c>
      <c r="AO88" s="264">
        <f t="shared" si="77"/>
        <v>0.58333333333333337</v>
      </c>
    </row>
    <row r="89" spans="2:43" s="253" customFormat="1" ht="12" customHeight="1" x14ac:dyDescent="0.2">
      <c r="B89" s="241" t="str">
        <f t="shared" si="79"/>
        <v>ridgecommercialRC3Y2W</v>
      </c>
      <c r="C89" s="232" t="s">
        <v>690</v>
      </c>
      <c r="D89" s="232" t="s">
        <v>223</v>
      </c>
      <c r="E89" s="238">
        <v>467.08</v>
      </c>
      <c r="F89" s="238">
        <v>467.08</v>
      </c>
      <c r="G89" s="238">
        <v>501.64</v>
      </c>
      <c r="H89" s="261"/>
      <c r="I89" s="243">
        <v>2802.48</v>
      </c>
      <c r="J89" s="243">
        <v>2802.48</v>
      </c>
      <c r="K89" s="243">
        <v>2802.48</v>
      </c>
      <c r="L89" s="243">
        <v>2802.48</v>
      </c>
      <c r="M89" s="243">
        <v>2802.48</v>
      </c>
      <c r="N89" s="243">
        <v>2802.48</v>
      </c>
      <c r="O89" s="243">
        <v>2802.48</v>
      </c>
      <c r="P89" s="243">
        <v>2802.48</v>
      </c>
      <c r="Q89" s="243">
        <v>2802.48</v>
      </c>
      <c r="R89" s="243">
        <v>3009.84</v>
      </c>
      <c r="S89" s="243">
        <v>3009.84</v>
      </c>
      <c r="T89" s="243">
        <v>3009.84</v>
      </c>
      <c r="U89" s="263">
        <f t="shared" si="62"/>
        <v>34251.839999999997</v>
      </c>
      <c r="W89" s="264">
        <f t="shared" si="63"/>
        <v>6</v>
      </c>
      <c r="X89" s="264">
        <f t="shared" si="64"/>
        <v>6</v>
      </c>
      <c r="Y89" s="264">
        <f t="shared" si="65"/>
        <v>6</v>
      </c>
      <c r="Z89" s="264">
        <f t="shared" si="66"/>
        <v>6</v>
      </c>
      <c r="AA89" s="264">
        <f t="shared" si="67"/>
        <v>6</v>
      </c>
      <c r="AB89" s="264">
        <f t="shared" si="68"/>
        <v>6</v>
      </c>
      <c r="AC89" s="264">
        <f t="shared" si="69"/>
        <v>6</v>
      </c>
      <c r="AD89" s="264">
        <f t="shared" si="70"/>
        <v>6</v>
      </c>
      <c r="AE89" s="264">
        <f t="shared" si="71"/>
        <v>6</v>
      </c>
      <c r="AF89" s="264">
        <f t="shared" si="72"/>
        <v>6.0000000000000009</v>
      </c>
      <c r="AG89" s="264">
        <f t="shared" si="73"/>
        <v>6.0000000000000009</v>
      </c>
      <c r="AH89" s="264">
        <f t="shared" si="74"/>
        <v>6.0000000000000009</v>
      </c>
      <c r="AI89" s="265">
        <f t="shared" si="75"/>
        <v>6</v>
      </c>
      <c r="AJ89" s="266">
        <f t="shared" si="76"/>
        <v>72</v>
      </c>
      <c r="AL89" s="241">
        <v>0</v>
      </c>
      <c r="AM89" s="240">
        <f t="shared" ref="AM89:AM101" si="80">+$AI89*AL89</f>
        <v>0</v>
      </c>
      <c r="AN89" s="241">
        <v>1</v>
      </c>
      <c r="AO89" s="240">
        <f t="shared" si="77"/>
        <v>6</v>
      </c>
      <c r="AP89" s="241">
        <v>0</v>
      </c>
      <c r="AQ89" s="240">
        <f t="shared" si="78"/>
        <v>0</v>
      </c>
    </row>
    <row r="90" spans="2:43" s="253" customFormat="1" ht="12" customHeight="1" x14ac:dyDescent="0.2">
      <c r="B90" s="241" t="str">
        <f t="shared" si="79"/>
        <v>ridgecommercialRC4Y1W</v>
      </c>
      <c r="C90" s="232" t="s">
        <v>691</v>
      </c>
      <c r="D90" s="232" t="s">
        <v>229</v>
      </c>
      <c r="E90" s="238">
        <v>311.35000000000002</v>
      </c>
      <c r="F90" s="238">
        <v>311.35000000000002</v>
      </c>
      <c r="G90" s="238">
        <v>334.39</v>
      </c>
      <c r="H90" s="261"/>
      <c r="I90" s="243">
        <v>4358.8999999999996</v>
      </c>
      <c r="J90" s="243">
        <v>4670.25</v>
      </c>
      <c r="K90" s="243">
        <v>4670.25</v>
      </c>
      <c r="L90" s="243">
        <v>4903.75</v>
      </c>
      <c r="M90" s="243">
        <v>5370.78</v>
      </c>
      <c r="N90" s="243">
        <v>5059.43</v>
      </c>
      <c r="O90" s="243">
        <v>5137.28</v>
      </c>
      <c r="P90" s="243">
        <v>5292.95</v>
      </c>
      <c r="Q90" s="243">
        <v>5137.28</v>
      </c>
      <c r="R90" s="243">
        <v>5015.8500000000004</v>
      </c>
      <c r="S90" s="243">
        <v>4848.66</v>
      </c>
      <c r="T90" s="243">
        <v>4932.25</v>
      </c>
      <c r="U90" s="263">
        <f t="shared" si="62"/>
        <v>59397.62999999999</v>
      </c>
      <c r="W90" s="264">
        <f t="shared" si="63"/>
        <v>13.999999999999998</v>
      </c>
      <c r="X90" s="264">
        <f t="shared" si="64"/>
        <v>14.999999999999998</v>
      </c>
      <c r="Y90" s="264">
        <f t="shared" si="65"/>
        <v>14.999999999999998</v>
      </c>
      <c r="Z90" s="264">
        <f t="shared" si="66"/>
        <v>15.749959852256302</v>
      </c>
      <c r="AA90" s="264">
        <f t="shared" si="67"/>
        <v>17.249975911353779</v>
      </c>
      <c r="AB90" s="264">
        <f t="shared" si="68"/>
        <v>16.249975911353783</v>
      </c>
      <c r="AC90" s="264">
        <f t="shared" si="69"/>
        <v>16.500016059097476</v>
      </c>
      <c r="AD90" s="264">
        <f t="shared" si="70"/>
        <v>16.999999999999996</v>
      </c>
      <c r="AE90" s="264">
        <f t="shared" si="71"/>
        <v>16.500016059097476</v>
      </c>
      <c r="AF90" s="264">
        <f t="shared" si="72"/>
        <v>15.000000000000002</v>
      </c>
      <c r="AG90" s="264">
        <f t="shared" si="73"/>
        <v>14.500014952600257</v>
      </c>
      <c r="AH90" s="264">
        <f t="shared" si="74"/>
        <v>14.749992523699872</v>
      </c>
      <c r="AI90" s="265">
        <f t="shared" si="75"/>
        <v>15.624995939121577</v>
      </c>
      <c r="AJ90" s="266">
        <f t="shared" si="76"/>
        <v>187.49995126945893</v>
      </c>
      <c r="AL90" s="241">
        <v>0</v>
      </c>
      <c r="AM90" s="240">
        <f t="shared" si="80"/>
        <v>0</v>
      </c>
      <c r="AN90" s="241">
        <v>1</v>
      </c>
      <c r="AO90" s="240">
        <f t="shared" si="77"/>
        <v>15.624995939121577</v>
      </c>
      <c r="AP90" s="241">
        <v>0</v>
      </c>
      <c r="AQ90" s="240">
        <f t="shared" si="78"/>
        <v>0</v>
      </c>
    </row>
    <row r="91" spans="2:43" s="253" customFormat="1" ht="12" customHeight="1" x14ac:dyDescent="0.2">
      <c r="B91" s="241" t="str">
        <f t="shared" si="79"/>
        <v>ridgecommercialRC4Y2W</v>
      </c>
      <c r="C91" s="232" t="s">
        <v>1034</v>
      </c>
      <c r="D91" s="232" t="s">
        <v>230</v>
      </c>
      <c r="E91" s="238">
        <v>622.70000000000005</v>
      </c>
      <c r="F91" s="238">
        <v>622.70000000000005</v>
      </c>
      <c r="G91" s="238">
        <v>668.78</v>
      </c>
      <c r="H91" s="261"/>
      <c r="I91" s="243">
        <v>3113.5</v>
      </c>
      <c r="J91" s="243">
        <v>2490.8000000000002</v>
      </c>
      <c r="K91" s="243">
        <v>2490.8000000000002</v>
      </c>
      <c r="L91" s="243">
        <v>2490.8000000000002</v>
      </c>
      <c r="M91" s="243">
        <v>2490.8000000000002</v>
      </c>
      <c r="N91" s="243">
        <v>2490.8000000000002</v>
      </c>
      <c r="O91" s="243">
        <v>2490.8000000000002</v>
      </c>
      <c r="P91" s="243">
        <v>2490.8000000000002</v>
      </c>
      <c r="Q91" s="243">
        <v>2802.15</v>
      </c>
      <c r="R91" s="243">
        <v>4012.68</v>
      </c>
      <c r="S91" s="243">
        <v>3678.29</v>
      </c>
      <c r="T91" s="243">
        <v>3511.1</v>
      </c>
      <c r="U91" s="263">
        <f t="shared" si="62"/>
        <v>34553.32</v>
      </c>
      <c r="W91" s="264">
        <f t="shared" si="63"/>
        <v>5</v>
      </c>
      <c r="X91" s="264">
        <f t="shared" si="64"/>
        <v>4</v>
      </c>
      <c r="Y91" s="264">
        <f t="shared" si="65"/>
        <v>4</v>
      </c>
      <c r="Z91" s="264">
        <f t="shared" si="66"/>
        <v>4</v>
      </c>
      <c r="AA91" s="264">
        <f t="shared" si="67"/>
        <v>4</v>
      </c>
      <c r="AB91" s="264">
        <f t="shared" si="68"/>
        <v>4</v>
      </c>
      <c r="AC91" s="264">
        <f t="shared" si="69"/>
        <v>4</v>
      </c>
      <c r="AD91" s="264">
        <f t="shared" si="70"/>
        <v>4</v>
      </c>
      <c r="AE91" s="264">
        <f t="shared" si="71"/>
        <v>4.5</v>
      </c>
      <c r="AF91" s="264">
        <f t="shared" si="72"/>
        <v>6</v>
      </c>
      <c r="AG91" s="264">
        <f t="shared" si="73"/>
        <v>5.5</v>
      </c>
      <c r="AH91" s="264">
        <f t="shared" si="74"/>
        <v>5.2500074763001283</v>
      </c>
      <c r="AI91" s="265">
        <f t="shared" si="75"/>
        <v>4.5208339563583442</v>
      </c>
      <c r="AJ91" s="266">
        <f t="shared" si="76"/>
        <v>54.250007476300127</v>
      </c>
      <c r="AL91" s="241">
        <v>0</v>
      </c>
      <c r="AM91" s="240">
        <f t="shared" si="80"/>
        <v>0</v>
      </c>
      <c r="AN91" s="241">
        <v>1</v>
      </c>
      <c r="AO91" s="240">
        <f t="shared" si="77"/>
        <v>4.5208339563583442</v>
      </c>
      <c r="AP91" s="241">
        <v>0</v>
      </c>
      <c r="AQ91" s="240">
        <f t="shared" si="78"/>
        <v>0</v>
      </c>
    </row>
    <row r="92" spans="2:43" s="253" customFormat="1" ht="12" customHeight="1" x14ac:dyDescent="0.2">
      <c r="B92" s="241" t="str">
        <f t="shared" si="79"/>
        <v>ridgecommercialRC6Y1W</v>
      </c>
      <c r="C92" s="232" t="s">
        <v>692</v>
      </c>
      <c r="D92" s="232" t="s">
        <v>238</v>
      </c>
      <c r="E92" s="238">
        <v>389.57</v>
      </c>
      <c r="F92" s="238">
        <v>389.57</v>
      </c>
      <c r="G92" s="238">
        <v>418.4</v>
      </c>
      <c r="H92" s="261"/>
      <c r="I92" s="243">
        <v>3506.13</v>
      </c>
      <c r="J92" s="243">
        <v>3506.13</v>
      </c>
      <c r="K92" s="243">
        <v>3506.13</v>
      </c>
      <c r="L92" s="243">
        <v>3506.13</v>
      </c>
      <c r="M92" s="243">
        <v>3506.13</v>
      </c>
      <c r="N92" s="243">
        <v>3798.3</v>
      </c>
      <c r="O92" s="243">
        <v>3798.31</v>
      </c>
      <c r="P92" s="243">
        <v>3506.13</v>
      </c>
      <c r="Q92" s="243">
        <v>3506.13</v>
      </c>
      <c r="R92" s="243">
        <v>3765.6</v>
      </c>
      <c r="S92" s="243">
        <v>3556.4</v>
      </c>
      <c r="T92" s="243">
        <v>3347.2</v>
      </c>
      <c r="U92" s="263">
        <f t="shared" si="62"/>
        <v>42808.72</v>
      </c>
      <c r="W92" s="264">
        <f t="shared" si="63"/>
        <v>9</v>
      </c>
      <c r="X92" s="264">
        <f t="shared" si="64"/>
        <v>9</v>
      </c>
      <c r="Y92" s="264">
        <f t="shared" si="65"/>
        <v>9</v>
      </c>
      <c r="Z92" s="264">
        <f t="shared" si="66"/>
        <v>9</v>
      </c>
      <c r="AA92" s="264">
        <f t="shared" si="67"/>
        <v>9</v>
      </c>
      <c r="AB92" s="264">
        <f t="shared" si="68"/>
        <v>9.7499807480042104</v>
      </c>
      <c r="AC92" s="264">
        <f t="shared" si="69"/>
        <v>9.7500064173319299</v>
      </c>
      <c r="AD92" s="264">
        <f t="shared" si="70"/>
        <v>9</v>
      </c>
      <c r="AE92" s="264">
        <f t="shared" si="71"/>
        <v>9</v>
      </c>
      <c r="AF92" s="264">
        <f t="shared" si="72"/>
        <v>9</v>
      </c>
      <c r="AG92" s="264">
        <f t="shared" si="73"/>
        <v>8.5</v>
      </c>
      <c r="AH92" s="264">
        <f t="shared" si="74"/>
        <v>8</v>
      </c>
      <c r="AI92" s="265">
        <f t="shared" si="75"/>
        <v>8.9999989304446775</v>
      </c>
      <c r="AJ92" s="266">
        <f t="shared" si="76"/>
        <v>107.99998716533614</v>
      </c>
      <c r="AL92" s="241">
        <v>0</v>
      </c>
      <c r="AM92" s="240">
        <f t="shared" si="80"/>
        <v>0</v>
      </c>
      <c r="AN92" s="241">
        <v>1</v>
      </c>
      <c r="AO92" s="240">
        <f t="shared" si="77"/>
        <v>8.9999989304446775</v>
      </c>
      <c r="AP92" s="241">
        <v>0</v>
      </c>
      <c r="AQ92" s="240">
        <f t="shared" si="78"/>
        <v>0</v>
      </c>
    </row>
    <row r="93" spans="2:43" s="253" customFormat="1" ht="12" customHeight="1" x14ac:dyDescent="0.2">
      <c r="B93" s="241" t="str">
        <f t="shared" si="79"/>
        <v>ridgecommercialRC6Y2W</v>
      </c>
      <c r="C93" s="232" t="s">
        <v>693</v>
      </c>
      <c r="D93" s="232" t="s">
        <v>239</v>
      </c>
      <c r="E93" s="238">
        <v>779.14</v>
      </c>
      <c r="F93" s="238">
        <v>779.14</v>
      </c>
      <c r="G93" s="238">
        <v>836.8</v>
      </c>
      <c r="H93" s="261"/>
      <c r="I93" s="243">
        <v>2337.42</v>
      </c>
      <c r="J93" s="243">
        <v>3116.56</v>
      </c>
      <c r="K93" s="243">
        <v>3116.56</v>
      </c>
      <c r="L93" s="243">
        <v>3116.56</v>
      </c>
      <c r="M93" s="243">
        <v>3116.56</v>
      </c>
      <c r="N93" s="243">
        <v>3116.56</v>
      </c>
      <c r="O93" s="243">
        <v>3116.56</v>
      </c>
      <c r="P93" s="243">
        <v>3116.56</v>
      </c>
      <c r="Q93" s="243">
        <v>3116.56</v>
      </c>
      <c r="R93" s="243">
        <v>3347.2</v>
      </c>
      <c r="S93" s="243">
        <v>2824.2</v>
      </c>
      <c r="T93" s="243">
        <v>3347.2</v>
      </c>
      <c r="U93" s="263">
        <f t="shared" si="62"/>
        <v>36788.5</v>
      </c>
      <c r="W93" s="264">
        <f t="shared" si="63"/>
        <v>3</v>
      </c>
      <c r="X93" s="264">
        <f t="shared" si="64"/>
        <v>4</v>
      </c>
      <c r="Y93" s="264">
        <f t="shared" si="65"/>
        <v>4</v>
      </c>
      <c r="Z93" s="264">
        <f t="shared" si="66"/>
        <v>4</v>
      </c>
      <c r="AA93" s="264">
        <f t="shared" si="67"/>
        <v>4</v>
      </c>
      <c r="AB93" s="264">
        <f t="shared" si="68"/>
        <v>4</v>
      </c>
      <c r="AC93" s="264">
        <f t="shared" si="69"/>
        <v>4</v>
      </c>
      <c r="AD93" s="264">
        <f t="shared" si="70"/>
        <v>4</v>
      </c>
      <c r="AE93" s="264">
        <f t="shared" si="71"/>
        <v>4</v>
      </c>
      <c r="AF93" s="264">
        <f t="shared" si="72"/>
        <v>4</v>
      </c>
      <c r="AG93" s="264">
        <f t="shared" si="73"/>
        <v>3.375</v>
      </c>
      <c r="AH93" s="264">
        <f t="shared" si="74"/>
        <v>4</v>
      </c>
      <c r="AI93" s="265">
        <f t="shared" si="75"/>
        <v>3.8645833333333335</v>
      </c>
      <c r="AJ93" s="266">
        <f t="shared" si="76"/>
        <v>46.375</v>
      </c>
      <c r="AL93" s="241">
        <v>0</v>
      </c>
      <c r="AM93" s="240">
        <f t="shared" si="80"/>
        <v>0</v>
      </c>
      <c r="AN93" s="241">
        <v>1</v>
      </c>
      <c r="AO93" s="240">
        <f t="shared" si="77"/>
        <v>3.8645833333333335</v>
      </c>
      <c r="AP93" s="241">
        <v>0</v>
      </c>
      <c r="AQ93" s="240">
        <f t="shared" si="78"/>
        <v>0</v>
      </c>
    </row>
    <row r="94" spans="2:43" s="253" customFormat="1" ht="12" customHeight="1" x14ac:dyDescent="0.2">
      <c r="B94" s="241" t="str">
        <f t="shared" si="79"/>
        <v>ridgecommercialRC8Y1W</v>
      </c>
      <c r="C94" s="232" t="s">
        <v>694</v>
      </c>
      <c r="D94" s="232" t="s">
        <v>244</v>
      </c>
      <c r="E94" s="238">
        <v>467.49</v>
      </c>
      <c r="F94" s="238">
        <v>467.49</v>
      </c>
      <c r="G94" s="238">
        <v>502.08</v>
      </c>
      <c r="H94" s="261"/>
      <c r="I94" s="243">
        <v>4674.8999999999996</v>
      </c>
      <c r="J94" s="243">
        <v>4441.1499999999996</v>
      </c>
      <c r="K94" s="243">
        <v>4207.41</v>
      </c>
      <c r="L94" s="243">
        <v>4207.41</v>
      </c>
      <c r="M94" s="243">
        <v>4441.1499999999996</v>
      </c>
      <c r="N94" s="243">
        <v>4674.8999999999996</v>
      </c>
      <c r="O94" s="243">
        <v>5025.5200000000004</v>
      </c>
      <c r="P94" s="243">
        <v>5142.3900000000003</v>
      </c>
      <c r="Q94" s="243">
        <v>5142.3900000000003</v>
      </c>
      <c r="R94" s="243">
        <v>5522.88</v>
      </c>
      <c r="S94" s="243">
        <v>5522.88</v>
      </c>
      <c r="T94" s="243">
        <v>5522.88</v>
      </c>
      <c r="U94" s="263">
        <f t="shared" si="62"/>
        <v>58525.859999999993</v>
      </c>
      <c r="W94" s="264">
        <f t="shared" si="63"/>
        <v>9.9999999999999982</v>
      </c>
      <c r="X94" s="264">
        <f t="shared" si="64"/>
        <v>9.4999893045840551</v>
      </c>
      <c r="Y94" s="264">
        <f t="shared" si="65"/>
        <v>9</v>
      </c>
      <c r="Z94" s="264">
        <f t="shared" si="66"/>
        <v>9</v>
      </c>
      <c r="AA94" s="264">
        <f t="shared" si="67"/>
        <v>9.4999893045840551</v>
      </c>
      <c r="AB94" s="264">
        <f t="shared" si="68"/>
        <v>9.9999999999999982</v>
      </c>
      <c r="AC94" s="264">
        <f t="shared" si="69"/>
        <v>10.750005347707972</v>
      </c>
      <c r="AD94" s="264">
        <f t="shared" si="70"/>
        <v>11</v>
      </c>
      <c r="AE94" s="264">
        <f t="shared" si="71"/>
        <v>11</v>
      </c>
      <c r="AF94" s="264">
        <f t="shared" si="72"/>
        <v>11</v>
      </c>
      <c r="AG94" s="264">
        <f t="shared" si="73"/>
        <v>11</v>
      </c>
      <c r="AH94" s="264">
        <f t="shared" si="74"/>
        <v>11</v>
      </c>
      <c r="AI94" s="265">
        <f t="shared" si="75"/>
        <v>10.229165329739674</v>
      </c>
      <c r="AJ94" s="266">
        <f t="shared" si="76"/>
        <v>122.74998395687608</v>
      </c>
      <c r="AL94" s="241">
        <v>0</v>
      </c>
      <c r="AM94" s="240">
        <f t="shared" si="80"/>
        <v>0</v>
      </c>
      <c r="AN94" s="241">
        <v>1</v>
      </c>
      <c r="AO94" s="240">
        <f t="shared" si="77"/>
        <v>10.229165329739674</v>
      </c>
      <c r="AP94" s="241">
        <v>0</v>
      </c>
      <c r="AQ94" s="240">
        <f t="shared" si="78"/>
        <v>0</v>
      </c>
    </row>
    <row r="95" spans="2:43" s="253" customFormat="1" ht="12" customHeight="1" x14ac:dyDescent="0.2">
      <c r="B95" s="241" t="str">
        <f t="shared" ref="B95:B100" si="81">"ridge"&amp;"commercial"&amp;C95</f>
        <v>ridgecommercialRC4Y3W</v>
      </c>
      <c r="C95" s="232" t="s">
        <v>1091</v>
      </c>
      <c r="D95" s="232" t="s">
        <v>231</v>
      </c>
      <c r="E95" s="238">
        <v>934.05</v>
      </c>
      <c r="F95" s="238">
        <v>934.05</v>
      </c>
      <c r="G95" s="238">
        <v>1003.17</v>
      </c>
      <c r="H95" s="261"/>
      <c r="I95" s="243">
        <v>3736.2</v>
      </c>
      <c r="J95" s="243">
        <v>3736.2</v>
      </c>
      <c r="K95" s="243">
        <v>3736.2</v>
      </c>
      <c r="L95" s="243">
        <v>3736.2</v>
      </c>
      <c r="M95" s="243">
        <v>3736.2</v>
      </c>
      <c r="N95" s="243">
        <v>3736.2</v>
      </c>
      <c r="O95" s="243">
        <v>3736.2</v>
      </c>
      <c r="P95" s="243">
        <v>3736.2</v>
      </c>
      <c r="Q95" s="243">
        <v>3736.2</v>
      </c>
      <c r="R95" s="243">
        <v>4012.68</v>
      </c>
      <c r="S95" s="243">
        <v>6019.02</v>
      </c>
      <c r="T95" s="243">
        <v>6019.02</v>
      </c>
      <c r="U95" s="263">
        <f t="shared" ref="U95:U100" si="82">SUM(I95:T95)</f>
        <v>49676.520000000004</v>
      </c>
      <c r="W95" s="264">
        <f t="shared" si="63"/>
        <v>4</v>
      </c>
      <c r="X95" s="264">
        <f t="shared" si="64"/>
        <v>4</v>
      </c>
      <c r="Y95" s="264">
        <f t="shared" si="65"/>
        <v>4</v>
      </c>
      <c r="Z95" s="264">
        <f t="shared" si="66"/>
        <v>4</v>
      </c>
      <c r="AA95" s="264">
        <f t="shared" si="67"/>
        <v>4</v>
      </c>
      <c r="AB95" s="264">
        <f t="shared" si="68"/>
        <v>4</v>
      </c>
      <c r="AC95" s="264">
        <f t="shared" si="69"/>
        <v>4</v>
      </c>
      <c r="AD95" s="264">
        <f t="shared" si="70"/>
        <v>4</v>
      </c>
      <c r="AE95" s="264">
        <f t="shared" si="71"/>
        <v>4</v>
      </c>
      <c r="AF95" s="264">
        <f t="shared" si="72"/>
        <v>4</v>
      </c>
      <c r="AG95" s="264">
        <f t="shared" si="73"/>
        <v>6.0000000000000009</v>
      </c>
      <c r="AH95" s="264">
        <f t="shared" si="74"/>
        <v>6.0000000000000009</v>
      </c>
      <c r="AI95" s="265">
        <f t="shared" si="75"/>
        <v>4.333333333333333</v>
      </c>
      <c r="AJ95" s="266">
        <f t="shared" si="76"/>
        <v>52</v>
      </c>
      <c r="AL95" s="241">
        <v>0</v>
      </c>
      <c r="AM95" s="240">
        <f t="shared" si="80"/>
        <v>0</v>
      </c>
      <c r="AN95" s="241">
        <v>0</v>
      </c>
      <c r="AO95" s="240">
        <f t="shared" si="77"/>
        <v>0</v>
      </c>
      <c r="AP95" s="241">
        <v>0</v>
      </c>
      <c r="AQ95" s="240">
        <f t="shared" si="78"/>
        <v>0</v>
      </c>
    </row>
    <row r="96" spans="2:43" s="253" customFormat="1" ht="12" customHeight="1" x14ac:dyDescent="0.2">
      <c r="B96" s="241" t="str">
        <f t="shared" si="81"/>
        <v>ridgecommercialRC8Y2W</v>
      </c>
      <c r="C96" s="232" t="s">
        <v>1092</v>
      </c>
      <c r="D96" s="232" t="s">
        <v>245</v>
      </c>
      <c r="E96" s="238">
        <v>934.97</v>
      </c>
      <c r="F96" s="238">
        <v>934.97</v>
      </c>
      <c r="G96" s="238">
        <v>1004.16</v>
      </c>
      <c r="H96" s="261"/>
      <c r="I96" s="243">
        <v>0</v>
      </c>
      <c r="J96" s="243">
        <v>467.48</v>
      </c>
      <c r="K96" s="243">
        <v>934.97</v>
      </c>
      <c r="L96" s="243">
        <v>934.97</v>
      </c>
      <c r="M96" s="243">
        <v>934.97</v>
      </c>
      <c r="N96" s="243">
        <v>934.97</v>
      </c>
      <c r="O96" s="243">
        <v>934.97</v>
      </c>
      <c r="P96" s="243">
        <v>934.97</v>
      </c>
      <c r="Q96" s="243">
        <v>934.97</v>
      </c>
      <c r="R96" s="243">
        <v>1004.16</v>
      </c>
      <c r="S96" s="243">
        <v>1004.16</v>
      </c>
      <c r="T96" s="243">
        <v>1004.16</v>
      </c>
      <c r="U96" s="263">
        <f t="shared" si="82"/>
        <v>10024.750000000002</v>
      </c>
      <c r="W96" s="264">
        <f t="shared" si="63"/>
        <v>0</v>
      </c>
      <c r="X96" s="264">
        <f t="shared" si="64"/>
        <v>0.49999465223483108</v>
      </c>
      <c r="Y96" s="264">
        <f t="shared" si="65"/>
        <v>1</v>
      </c>
      <c r="Z96" s="264">
        <f t="shared" si="66"/>
        <v>1</v>
      </c>
      <c r="AA96" s="264">
        <f t="shared" si="67"/>
        <v>1</v>
      </c>
      <c r="AB96" s="264">
        <f t="shared" si="68"/>
        <v>1</v>
      </c>
      <c r="AC96" s="264">
        <f t="shared" si="69"/>
        <v>1</v>
      </c>
      <c r="AD96" s="264">
        <f t="shared" si="70"/>
        <v>1</v>
      </c>
      <c r="AE96" s="264">
        <f t="shared" si="71"/>
        <v>1</v>
      </c>
      <c r="AF96" s="264">
        <f t="shared" si="72"/>
        <v>1</v>
      </c>
      <c r="AG96" s="264">
        <f t="shared" si="73"/>
        <v>1</v>
      </c>
      <c r="AH96" s="264">
        <f t="shared" si="74"/>
        <v>1</v>
      </c>
      <c r="AI96" s="265">
        <f t="shared" si="75"/>
        <v>0.87499955435290255</v>
      </c>
      <c r="AJ96" s="266">
        <f t="shared" si="76"/>
        <v>10.499994652234831</v>
      </c>
      <c r="AL96" s="241">
        <v>0</v>
      </c>
      <c r="AM96" s="240">
        <f t="shared" si="80"/>
        <v>0</v>
      </c>
      <c r="AN96" s="241">
        <v>0</v>
      </c>
      <c r="AO96" s="240">
        <f t="shared" si="77"/>
        <v>0</v>
      </c>
      <c r="AP96" s="241">
        <v>0</v>
      </c>
      <c r="AQ96" s="240">
        <f t="shared" si="78"/>
        <v>0</v>
      </c>
    </row>
    <row r="97" spans="2:43" s="253" customFormat="1" ht="12" customHeight="1" x14ac:dyDescent="0.2">
      <c r="B97" s="241" t="str">
        <f t="shared" si="81"/>
        <v>ridgecommercialRCA32EOW</v>
      </c>
      <c r="C97" s="232" t="s">
        <v>1285</v>
      </c>
      <c r="D97" s="232" t="s">
        <v>1286</v>
      </c>
      <c r="E97" s="238">
        <v>17.899999999999999</v>
      </c>
      <c r="F97" s="238">
        <v>17.899999999999999</v>
      </c>
      <c r="G97" s="238">
        <v>19.22</v>
      </c>
      <c r="H97" s="261"/>
      <c r="I97" s="243">
        <v>17.899999999999999</v>
      </c>
      <c r="J97" s="243">
        <v>17.899999999999999</v>
      </c>
      <c r="K97" s="243">
        <v>17.899999999999999</v>
      </c>
      <c r="L97" s="243">
        <v>17.899999999999999</v>
      </c>
      <c r="M97" s="243">
        <v>17.899999999999999</v>
      </c>
      <c r="N97" s="243">
        <v>17.899999999999999</v>
      </c>
      <c r="O97" s="243">
        <v>17.899999999999999</v>
      </c>
      <c r="P97" s="243">
        <v>17.899999999999999</v>
      </c>
      <c r="Q97" s="243">
        <v>17.899999999999999</v>
      </c>
      <c r="R97" s="243">
        <v>19.22</v>
      </c>
      <c r="S97" s="243">
        <v>19.22</v>
      </c>
      <c r="T97" s="243">
        <v>19.22</v>
      </c>
      <c r="U97" s="263">
        <f t="shared" si="82"/>
        <v>218.76000000000002</v>
      </c>
      <c r="W97" s="264">
        <f t="shared" si="63"/>
        <v>1</v>
      </c>
      <c r="X97" s="264">
        <f t="shared" si="64"/>
        <v>1</v>
      </c>
      <c r="Y97" s="264">
        <f t="shared" si="65"/>
        <v>1</v>
      </c>
      <c r="Z97" s="264">
        <f t="shared" si="66"/>
        <v>1</v>
      </c>
      <c r="AA97" s="264">
        <f t="shared" si="67"/>
        <v>1</v>
      </c>
      <c r="AB97" s="264">
        <f t="shared" si="68"/>
        <v>1</v>
      </c>
      <c r="AC97" s="264">
        <f t="shared" si="69"/>
        <v>1</v>
      </c>
      <c r="AD97" s="264">
        <f t="shared" si="70"/>
        <v>1</v>
      </c>
      <c r="AE97" s="264">
        <f t="shared" si="71"/>
        <v>1</v>
      </c>
      <c r="AF97" s="264">
        <f t="shared" si="72"/>
        <v>1</v>
      </c>
      <c r="AG97" s="264">
        <f t="shared" si="73"/>
        <v>1</v>
      </c>
      <c r="AH97" s="264">
        <f t="shared" si="74"/>
        <v>1</v>
      </c>
      <c r="AI97" s="265">
        <f t="shared" si="75"/>
        <v>1</v>
      </c>
      <c r="AJ97" s="266">
        <f t="shared" si="76"/>
        <v>12</v>
      </c>
      <c r="AL97" s="241">
        <v>1</v>
      </c>
      <c r="AM97" s="240">
        <f t="shared" si="80"/>
        <v>1</v>
      </c>
      <c r="AN97" s="241">
        <v>0</v>
      </c>
      <c r="AO97" s="240">
        <f t="shared" si="77"/>
        <v>0</v>
      </c>
      <c r="AP97" s="241">
        <v>0</v>
      </c>
      <c r="AQ97" s="240">
        <f t="shared" si="78"/>
        <v>0</v>
      </c>
    </row>
    <row r="98" spans="2:43" s="253" customFormat="1" ht="12" customHeight="1" x14ac:dyDescent="0.2">
      <c r="B98" s="241" t="str">
        <f t="shared" si="81"/>
        <v>ridgecommercialRCA32W</v>
      </c>
      <c r="C98" s="232" t="s">
        <v>1187</v>
      </c>
      <c r="D98" s="232" t="s">
        <v>1188</v>
      </c>
      <c r="E98" s="238">
        <v>19.75</v>
      </c>
      <c r="F98" s="238">
        <v>19.75</v>
      </c>
      <c r="G98" s="238">
        <v>21.21</v>
      </c>
      <c r="H98" s="261"/>
      <c r="I98" s="243">
        <v>217.25</v>
      </c>
      <c r="J98" s="243">
        <v>217.25</v>
      </c>
      <c r="K98" s="243">
        <v>217.25</v>
      </c>
      <c r="L98" s="243">
        <v>217.25</v>
      </c>
      <c r="M98" s="243">
        <v>217.25</v>
      </c>
      <c r="N98" s="243">
        <v>202.43</v>
      </c>
      <c r="O98" s="243">
        <v>197.5</v>
      </c>
      <c r="P98" s="243">
        <v>197.5</v>
      </c>
      <c r="Q98" s="243">
        <v>197.5</v>
      </c>
      <c r="R98" s="243">
        <v>212.1</v>
      </c>
      <c r="S98" s="243">
        <v>212.1</v>
      </c>
      <c r="T98" s="243">
        <v>212.1</v>
      </c>
      <c r="U98" s="263">
        <f t="shared" si="82"/>
        <v>2517.48</v>
      </c>
      <c r="W98" s="264">
        <f t="shared" si="63"/>
        <v>11</v>
      </c>
      <c r="X98" s="264">
        <f t="shared" si="64"/>
        <v>11</v>
      </c>
      <c r="Y98" s="264">
        <f t="shared" si="65"/>
        <v>11</v>
      </c>
      <c r="Z98" s="264">
        <f t="shared" si="66"/>
        <v>11</v>
      </c>
      <c r="AA98" s="264">
        <f t="shared" si="67"/>
        <v>11</v>
      </c>
      <c r="AB98" s="264">
        <f t="shared" si="68"/>
        <v>10.249620253164558</v>
      </c>
      <c r="AC98" s="264">
        <f t="shared" si="69"/>
        <v>10</v>
      </c>
      <c r="AD98" s="264">
        <f t="shared" si="70"/>
        <v>10</v>
      </c>
      <c r="AE98" s="264">
        <f t="shared" si="71"/>
        <v>10</v>
      </c>
      <c r="AF98" s="264">
        <f t="shared" si="72"/>
        <v>10</v>
      </c>
      <c r="AG98" s="264">
        <f t="shared" si="73"/>
        <v>10</v>
      </c>
      <c r="AH98" s="264">
        <f t="shared" si="74"/>
        <v>10</v>
      </c>
      <c r="AI98" s="265">
        <f t="shared" si="75"/>
        <v>10.437468354430379</v>
      </c>
      <c r="AJ98" s="266">
        <f t="shared" si="76"/>
        <v>125.24962025316455</v>
      </c>
      <c r="AL98" s="241">
        <v>1</v>
      </c>
      <c r="AM98" s="240">
        <f t="shared" si="80"/>
        <v>10.437468354430379</v>
      </c>
      <c r="AN98" s="241">
        <v>0</v>
      </c>
      <c r="AO98" s="240">
        <f t="shared" si="77"/>
        <v>0</v>
      </c>
      <c r="AP98" s="241">
        <v>0</v>
      </c>
      <c r="AQ98" s="240">
        <f t="shared" si="78"/>
        <v>0</v>
      </c>
    </row>
    <row r="99" spans="2:43" s="253" customFormat="1" ht="12" customHeight="1" x14ac:dyDescent="0.2">
      <c r="B99" s="241" t="str">
        <f t="shared" si="81"/>
        <v>ridgecommercialRCA64W</v>
      </c>
      <c r="C99" s="232" t="s">
        <v>1189</v>
      </c>
      <c r="D99" s="232" t="s">
        <v>1190</v>
      </c>
      <c r="E99" s="238">
        <v>28.74</v>
      </c>
      <c r="F99" s="238">
        <v>28.74</v>
      </c>
      <c r="G99" s="238">
        <v>30.87</v>
      </c>
      <c r="H99" s="261"/>
      <c r="I99" s="243">
        <v>258.66000000000003</v>
      </c>
      <c r="J99" s="243">
        <v>258.66000000000003</v>
      </c>
      <c r="K99" s="243">
        <v>258.66000000000003</v>
      </c>
      <c r="L99" s="243">
        <v>258.66000000000003</v>
      </c>
      <c r="M99" s="243">
        <v>258.66000000000003</v>
      </c>
      <c r="N99" s="243">
        <v>280.20999999999998</v>
      </c>
      <c r="O99" s="243">
        <v>258.66000000000003</v>
      </c>
      <c r="P99" s="243">
        <v>258.66000000000003</v>
      </c>
      <c r="Q99" s="243">
        <v>258.66000000000003</v>
      </c>
      <c r="R99" s="243">
        <v>277.83</v>
      </c>
      <c r="S99" s="243">
        <v>277.83</v>
      </c>
      <c r="T99" s="243">
        <v>277.83</v>
      </c>
      <c r="U99" s="263">
        <f t="shared" si="82"/>
        <v>3182.98</v>
      </c>
      <c r="W99" s="264">
        <f t="shared" si="63"/>
        <v>9.0000000000000018</v>
      </c>
      <c r="X99" s="264">
        <f t="shared" si="64"/>
        <v>9.0000000000000018</v>
      </c>
      <c r="Y99" s="264">
        <f t="shared" si="65"/>
        <v>9.0000000000000018</v>
      </c>
      <c r="Z99" s="264">
        <f t="shared" si="66"/>
        <v>9.0000000000000018</v>
      </c>
      <c r="AA99" s="264">
        <f t="shared" si="67"/>
        <v>9.0000000000000018</v>
      </c>
      <c r="AB99" s="264">
        <f t="shared" si="68"/>
        <v>9.74982602644398</v>
      </c>
      <c r="AC99" s="264">
        <f t="shared" si="69"/>
        <v>9.0000000000000018</v>
      </c>
      <c r="AD99" s="264">
        <f t="shared" si="70"/>
        <v>9.0000000000000018</v>
      </c>
      <c r="AE99" s="264">
        <f t="shared" si="71"/>
        <v>9.0000000000000018</v>
      </c>
      <c r="AF99" s="264">
        <f t="shared" si="72"/>
        <v>9</v>
      </c>
      <c r="AG99" s="264">
        <f t="shared" si="73"/>
        <v>9</v>
      </c>
      <c r="AH99" s="264">
        <f t="shared" si="74"/>
        <v>9</v>
      </c>
      <c r="AI99" s="265">
        <f t="shared" si="75"/>
        <v>9.0624855022036659</v>
      </c>
      <c r="AJ99" s="266">
        <f t="shared" si="76"/>
        <v>108.74982602644398</v>
      </c>
      <c r="AL99" s="241">
        <v>1</v>
      </c>
      <c r="AM99" s="240">
        <f t="shared" si="80"/>
        <v>9.0624855022036659</v>
      </c>
      <c r="AN99" s="241">
        <v>0</v>
      </c>
      <c r="AO99" s="240">
        <f t="shared" si="77"/>
        <v>0</v>
      </c>
      <c r="AP99" s="241">
        <v>0</v>
      </c>
      <c r="AQ99" s="240">
        <f t="shared" si="78"/>
        <v>0</v>
      </c>
    </row>
    <row r="100" spans="2:43" s="253" customFormat="1" ht="12" customHeight="1" x14ac:dyDescent="0.2">
      <c r="B100" s="241" t="str">
        <f t="shared" si="81"/>
        <v>ridgecommercialRCA96W</v>
      </c>
      <c r="C100" s="232" t="s">
        <v>1191</v>
      </c>
      <c r="D100" s="232" t="s">
        <v>1192</v>
      </c>
      <c r="E100" s="238">
        <v>39.21</v>
      </c>
      <c r="F100" s="238">
        <v>39.21</v>
      </c>
      <c r="G100" s="238">
        <v>42.11</v>
      </c>
      <c r="H100" s="261"/>
      <c r="I100" s="243">
        <v>274.47000000000003</v>
      </c>
      <c r="J100" s="243">
        <v>274.47000000000003</v>
      </c>
      <c r="K100" s="243">
        <v>274.47000000000003</v>
      </c>
      <c r="L100" s="243">
        <v>274.47000000000003</v>
      </c>
      <c r="M100" s="243">
        <v>274.47000000000003</v>
      </c>
      <c r="N100" s="243">
        <v>274.47000000000003</v>
      </c>
      <c r="O100" s="243">
        <v>303.87</v>
      </c>
      <c r="P100" s="243">
        <v>362.7</v>
      </c>
      <c r="Q100" s="243">
        <v>274.47000000000003</v>
      </c>
      <c r="R100" s="243">
        <v>294.77</v>
      </c>
      <c r="S100" s="243">
        <v>294.77</v>
      </c>
      <c r="T100" s="243">
        <v>294.77</v>
      </c>
      <c r="U100" s="263">
        <f t="shared" si="82"/>
        <v>3472.1699999999996</v>
      </c>
      <c r="W100" s="264">
        <f t="shared" si="63"/>
        <v>7.0000000000000009</v>
      </c>
      <c r="X100" s="264">
        <f t="shared" si="64"/>
        <v>7.0000000000000009</v>
      </c>
      <c r="Y100" s="264">
        <f t="shared" si="65"/>
        <v>7.0000000000000009</v>
      </c>
      <c r="Z100" s="264">
        <f t="shared" si="66"/>
        <v>7.0000000000000009</v>
      </c>
      <c r="AA100" s="264">
        <f t="shared" si="67"/>
        <v>7.0000000000000009</v>
      </c>
      <c r="AB100" s="264">
        <f t="shared" si="68"/>
        <v>7.0000000000000009</v>
      </c>
      <c r="AC100" s="264">
        <f t="shared" si="69"/>
        <v>7.7498087222647287</v>
      </c>
      <c r="AD100" s="264">
        <f t="shared" si="70"/>
        <v>9.2501912777352704</v>
      </c>
      <c r="AE100" s="264">
        <f t="shared" si="71"/>
        <v>7.0000000000000009</v>
      </c>
      <c r="AF100" s="264">
        <f t="shared" si="72"/>
        <v>7</v>
      </c>
      <c r="AG100" s="264">
        <f t="shared" si="73"/>
        <v>7</v>
      </c>
      <c r="AH100" s="264">
        <f t="shared" si="74"/>
        <v>7</v>
      </c>
      <c r="AI100" s="265">
        <f t="shared" si="75"/>
        <v>7.2500000000000009</v>
      </c>
      <c r="AJ100" s="266">
        <f t="shared" si="76"/>
        <v>87.000000000000014</v>
      </c>
      <c r="AL100" s="241">
        <v>1</v>
      </c>
      <c r="AM100" s="240">
        <f t="shared" si="80"/>
        <v>7.2500000000000009</v>
      </c>
      <c r="AN100" s="241">
        <v>0</v>
      </c>
      <c r="AO100" s="240">
        <f t="shared" si="77"/>
        <v>0</v>
      </c>
      <c r="AP100" s="241">
        <v>0</v>
      </c>
      <c r="AQ100" s="240">
        <f t="shared" si="78"/>
        <v>0</v>
      </c>
    </row>
    <row r="101" spans="2:43" s="253" customFormat="1" ht="12" customHeight="1" x14ac:dyDescent="0.2">
      <c r="B101" s="241" t="str">
        <f>"ridge"&amp;"commercial"&amp;C101</f>
        <v>ridgecommercialCCTP2Y</v>
      </c>
      <c r="C101" s="232" t="s">
        <v>160</v>
      </c>
      <c r="D101" s="232" t="s">
        <v>263</v>
      </c>
      <c r="E101" s="238">
        <v>62.56</v>
      </c>
      <c r="F101" s="238">
        <v>62.56</v>
      </c>
      <c r="G101" s="238">
        <v>67.19</v>
      </c>
      <c r="H101" s="261"/>
      <c r="I101" s="243">
        <v>0</v>
      </c>
      <c r="J101" s="243">
        <v>62.56</v>
      </c>
      <c r="K101" s="243">
        <v>62.56</v>
      </c>
      <c r="L101" s="243">
        <v>0</v>
      </c>
      <c r="M101" s="243">
        <v>62.56</v>
      </c>
      <c r="N101" s="243">
        <v>0</v>
      </c>
      <c r="O101" s="243">
        <v>62.56</v>
      </c>
      <c r="P101" s="243">
        <v>0</v>
      </c>
      <c r="Q101" s="243">
        <v>0</v>
      </c>
      <c r="R101" s="243">
        <v>0</v>
      </c>
      <c r="S101" s="243">
        <v>67.19</v>
      </c>
      <c r="T101" s="243">
        <v>0</v>
      </c>
      <c r="U101" s="263">
        <f>SUM(I101:T101)</f>
        <v>317.43</v>
      </c>
      <c r="W101" s="264">
        <f t="shared" si="63"/>
        <v>0</v>
      </c>
      <c r="X101" s="264">
        <f t="shared" si="64"/>
        <v>1</v>
      </c>
      <c r="Y101" s="264">
        <f t="shared" si="65"/>
        <v>1</v>
      </c>
      <c r="Z101" s="264">
        <f t="shared" si="66"/>
        <v>0</v>
      </c>
      <c r="AA101" s="264">
        <f t="shared" si="67"/>
        <v>1</v>
      </c>
      <c r="AB101" s="264">
        <f t="shared" si="68"/>
        <v>0</v>
      </c>
      <c r="AC101" s="264">
        <f t="shared" si="69"/>
        <v>1</v>
      </c>
      <c r="AD101" s="264">
        <f t="shared" si="70"/>
        <v>0</v>
      </c>
      <c r="AE101" s="264">
        <f t="shared" si="71"/>
        <v>0</v>
      </c>
      <c r="AF101" s="264">
        <f t="shared" si="72"/>
        <v>0</v>
      </c>
      <c r="AG101" s="264">
        <f t="shared" si="73"/>
        <v>1</v>
      </c>
      <c r="AH101" s="264">
        <f t="shared" si="74"/>
        <v>0</v>
      </c>
      <c r="AI101" s="265">
        <f t="shared" si="75"/>
        <v>0.41666666666666669</v>
      </c>
      <c r="AJ101" s="266">
        <f t="shared" si="76"/>
        <v>5</v>
      </c>
      <c r="AL101" s="241">
        <v>0</v>
      </c>
      <c r="AM101" s="240">
        <f t="shared" si="80"/>
        <v>0</v>
      </c>
      <c r="AN101" s="241">
        <v>1</v>
      </c>
      <c r="AO101" s="240">
        <f t="shared" si="77"/>
        <v>0.41666666666666669</v>
      </c>
      <c r="AP101" s="241">
        <v>0</v>
      </c>
      <c r="AQ101" s="240">
        <f t="shared" si="78"/>
        <v>0</v>
      </c>
    </row>
    <row r="102" spans="2:43" ht="12" customHeight="1" x14ac:dyDescent="0.2">
      <c r="B102" s="1" t="str">
        <f>"ridge"&amp;"commercial"&amp;C102</f>
        <v>ridgecommercialCCSP4Y</v>
      </c>
      <c r="C102" s="58" t="s">
        <v>155</v>
      </c>
      <c r="D102" s="58" t="s">
        <v>258</v>
      </c>
      <c r="E102" s="11">
        <v>90.41</v>
      </c>
      <c r="F102" s="11">
        <v>90.41</v>
      </c>
      <c r="G102" s="11">
        <v>97.1</v>
      </c>
      <c r="H102" s="55"/>
      <c r="I102" s="14">
        <v>0</v>
      </c>
      <c r="J102" s="14">
        <v>0</v>
      </c>
      <c r="K102" s="14">
        <v>0</v>
      </c>
      <c r="L102" s="14">
        <v>0</v>
      </c>
      <c r="M102" s="14">
        <v>90.41</v>
      </c>
      <c r="N102" s="14">
        <v>0</v>
      </c>
      <c r="O102" s="14">
        <v>0</v>
      </c>
      <c r="P102" s="14">
        <v>90.41</v>
      </c>
      <c r="Q102" s="14">
        <v>0</v>
      </c>
      <c r="R102" s="14">
        <v>0</v>
      </c>
      <c r="S102" s="14">
        <v>0</v>
      </c>
      <c r="T102" s="14">
        <v>0</v>
      </c>
      <c r="U102" s="73">
        <f>SUM(I102:T102)</f>
        <v>180.82</v>
      </c>
      <c r="W102" s="48">
        <f t="shared" si="63"/>
        <v>0</v>
      </c>
      <c r="X102" s="48">
        <f t="shared" si="64"/>
        <v>0</v>
      </c>
      <c r="Y102" s="48">
        <f t="shared" si="65"/>
        <v>0</v>
      </c>
      <c r="Z102" s="48">
        <f t="shared" si="66"/>
        <v>0</v>
      </c>
      <c r="AA102" s="48">
        <f t="shared" si="67"/>
        <v>1</v>
      </c>
      <c r="AB102" s="48">
        <f t="shared" si="68"/>
        <v>0</v>
      </c>
      <c r="AC102" s="48">
        <f t="shared" si="69"/>
        <v>0</v>
      </c>
      <c r="AD102" s="48">
        <f t="shared" si="70"/>
        <v>1</v>
      </c>
      <c r="AE102" s="48">
        <f t="shared" si="71"/>
        <v>0</v>
      </c>
      <c r="AF102" s="48">
        <f t="shared" si="72"/>
        <v>0</v>
      </c>
      <c r="AG102" s="48">
        <f t="shared" si="73"/>
        <v>0</v>
      </c>
      <c r="AH102" s="48">
        <f t="shared" si="74"/>
        <v>0</v>
      </c>
      <c r="AI102" s="47">
        <f t="shared" si="75"/>
        <v>0.16666666666666666</v>
      </c>
      <c r="AJ102" s="134">
        <f t="shared" si="76"/>
        <v>2</v>
      </c>
    </row>
    <row r="103" spans="2:43" ht="12" customHeight="1" x14ac:dyDescent="0.2">
      <c r="B103" s="1" t="str">
        <f>"ridge"&amp;"commercial"&amp;C103</f>
        <v>ridgecommercialCCSP3Y</v>
      </c>
      <c r="C103" s="58" t="s">
        <v>153</v>
      </c>
      <c r="D103" s="58" t="s">
        <v>256</v>
      </c>
      <c r="E103" s="11">
        <v>78.349999999999994</v>
      </c>
      <c r="F103" s="11">
        <v>78.349999999999994</v>
      </c>
      <c r="G103" s="11">
        <v>84.15</v>
      </c>
      <c r="H103" s="55"/>
      <c r="I103" s="14">
        <v>0</v>
      </c>
      <c r="J103" s="14">
        <v>0</v>
      </c>
      <c r="K103" s="14">
        <v>0</v>
      </c>
      <c r="L103" s="14">
        <v>313.39999999999998</v>
      </c>
      <c r="M103" s="14">
        <v>0</v>
      </c>
      <c r="N103" s="14">
        <v>0</v>
      </c>
      <c r="O103" s="14">
        <v>0</v>
      </c>
      <c r="P103" s="14">
        <v>0</v>
      </c>
      <c r="Q103" s="14">
        <v>0</v>
      </c>
      <c r="R103" s="14">
        <v>0</v>
      </c>
      <c r="S103" s="14">
        <v>0</v>
      </c>
      <c r="T103" s="14">
        <v>0</v>
      </c>
      <c r="U103" s="73">
        <f>SUM(I103:T103)</f>
        <v>313.39999999999998</v>
      </c>
      <c r="W103" s="48">
        <f t="shared" si="63"/>
        <v>0</v>
      </c>
      <c r="X103" s="48">
        <f t="shared" si="64"/>
        <v>0</v>
      </c>
      <c r="Y103" s="48">
        <f t="shared" si="65"/>
        <v>0</v>
      </c>
      <c r="Z103" s="48">
        <f t="shared" si="66"/>
        <v>4</v>
      </c>
      <c r="AA103" s="48">
        <f t="shared" si="67"/>
        <v>0</v>
      </c>
      <c r="AB103" s="48">
        <f t="shared" si="68"/>
        <v>0</v>
      </c>
      <c r="AC103" s="48">
        <f t="shared" si="69"/>
        <v>0</v>
      </c>
      <c r="AD103" s="48">
        <f t="shared" si="70"/>
        <v>0</v>
      </c>
      <c r="AE103" s="48">
        <f t="shared" si="71"/>
        <v>0</v>
      </c>
      <c r="AF103" s="48">
        <f t="shared" si="72"/>
        <v>0</v>
      </c>
      <c r="AG103" s="48">
        <f t="shared" si="73"/>
        <v>0</v>
      </c>
      <c r="AH103" s="48">
        <f t="shared" si="74"/>
        <v>0</v>
      </c>
      <c r="AI103" s="47">
        <f t="shared" si="75"/>
        <v>0.33333333333333331</v>
      </c>
      <c r="AJ103" s="134">
        <f t="shared" si="76"/>
        <v>4</v>
      </c>
    </row>
    <row r="104" spans="2:43" ht="12" customHeight="1" x14ac:dyDescent="0.2">
      <c r="B104" s="1" t="str">
        <f>"ridge"&amp;"commercial"&amp;C104</f>
        <v>ridgecommercialCCSP6Y</v>
      </c>
      <c r="C104" s="58" t="s">
        <v>156</v>
      </c>
      <c r="D104" s="58" t="s">
        <v>259</v>
      </c>
      <c r="E104" s="11">
        <v>120.78</v>
      </c>
      <c r="F104" s="11">
        <v>120.78</v>
      </c>
      <c r="G104" s="11">
        <v>129.72</v>
      </c>
      <c r="H104" s="55"/>
      <c r="I104" s="14">
        <v>0</v>
      </c>
      <c r="J104" s="14">
        <v>0</v>
      </c>
      <c r="K104" s="14">
        <v>0</v>
      </c>
      <c r="L104" s="14">
        <v>0</v>
      </c>
      <c r="M104" s="14">
        <v>0</v>
      </c>
      <c r="N104" s="14">
        <v>0</v>
      </c>
      <c r="O104" s="14">
        <v>120.78</v>
      </c>
      <c r="P104" s="14">
        <v>120.78</v>
      </c>
      <c r="Q104" s="14">
        <v>362.34</v>
      </c>
      <c r="R104" s="14">
        <v>129.72</v>
      </c>
      <c r="S104" s="14">
        <v>129.72</v>
      </c>
      <c r="T104" s="14">
        <v>0</v>
      </c>
      <c r="U104" s="73">
        <f>SUM(I104:T104)</f>
        <v>863.34</v>
      </c>
      <c r="W104" s="48">
        <f t="shared" si="63"/>
        <v>0</v>
      </c>
      <c r="X104" s="48">
        <f t="shared" si="64"/>
        <v>0</v>
      </c>
      <c r="Y104" s="48">
        <f t="shared" si="65"/>
        <v>0</v>
      </c>
      <c r="Z104" s="48">
        <f t="shared" si="66"/>
        <v>0</v>
      </c>
      <c r="AA104" s="48">
        <f t="shared" si="67"/>
        <v>0</v>
      </c>
      <c r="AB104" s="48">
        <f t="shared" si="68"/>
        <v>0</v>
      </c>
      <c r="AC104" s="48">
        <f t="shared" si="69"/>
        <v>1</v>
      </c>
      <c r="AD104" s="48">
        <f t="shared" si="70"/>
        <v>1</v>
      </c>
      <c r="AE104" s="48">
        <f t="shared" si="71"/>
        <v>2.9999999999999996</v>
      </c>
      <c r="AF104" s="48">
        <f t="shared" si="72"/>
        <v>1</v>
      </c>
      <c r="AG104" s="48">
        <f t="shared" si="73"/>
        <v>1</v>
      </c>
      <c r="AH104" s="48">
        <f t="shared" si="74"/>
        <v>0</v>
      </c>
      <c r="AI104" s="47">
        <f t="shared" si="75"/>
        <v>0.58333333333333337</v>
      </c>
      <c r="AJ104" s="134">
        <f t="shared" si="76"/>
        <v>7</v>
      </c>
    </row>
    <row r="105" spans="2:43" ht="12" customHeight="1" x14ac:dyDescent="0.2">
      <c r="B105" s="1" t="str">
        <f>"ridge"&amp;"commercial"&amp;C105</f>
        <v>ridgecommercialCCSP8Y</v>
      </c>
      <c r="C105" s="58" t="s">
        <v>157</v>
      </c>
      <c r="D105" s="58" t="s">
        <v>260</v>
      </c>
      <c r="E105" s="11">
        <v>151.16</v>
      </c>
      <c r="F105" s="11">
        <v>151.16</v>
      </c>
      <c r="G105" s="11">
        <v>162.35</v>
      </c>
      <c r="H105" s="55"/>
      <c r="I105" s="14">
        <v>0</v>
      </c>
      <c r="J105" s="14">
        <v>302.32</v>
      </c>
      <c r="K105" s="14">
        <v>0</v>
      </c>
      <c r="L105" s="14">
        <v>0</v>
      </c>
      <c r="M105" s="14">
        <v>0</v>
      </c>
      <c r="N105" s="14">
        <v>0</v>
      </c>
      <c r="O105" s="14">
        <v>0</v>
      </c>
      <c r="P105" s="14">
        <v>0</v>
      </c>
      <c r="Q105" s="14">
        <v>0</v>
      </c>
      <c r="R105" s="14">
        <v>0</v>
      </c>
      <c r="S105" s="14">
        <v>0</v>
      </c>
      <c r="T105" s="14">
        <v>0</v>
      </c>
      <c r="U105" s="73">
        <f>SUM(I105:T105)</f>
        <v>302.32</v>
      </c>
      <c r="W105" s="48">
        <f t="shared" si="63"/>
        <v>0</v>
      </c>
      <c r="X105" s="48">
        <f t="shared" si="64"/>
        <v>2</v>
      </c>
      <c r="Y105" s="48">
        <f t="shared" si="65"/>
        <v>0</v>
      </c>
      <c r="Z105" s="48">
        <f t="shared" si="66"/>
        <v>0</v>
      </c>
      <c r="AA105" s="48">
        <f t="shared" si="67"/>
        <v>0</v>
      </c>
      <c r="AB105" s="48">
        <f t="shared" si="68"/>
        <v>0</v>
      </c>
      <c r="AC105" s="48">
        <f t="shared" si="69"/>
        <v>0</v>
      </c>
      <c r="AD105" s="48">
        <f t="shared" si="70"/>
        <v>0</v>
      </c>
      <c r="AE105" s="48">
        <f t="shared" si="71"/>
        <v>0</v>
      </c>
      <c r="AF105" s="48">
        <f t="shared" si="72"/>
        <v>0</v>
      </c>
      <c r="AG105" s="48">
        <f t="shared" si="73"/>
        <v>0</v>
      </c>
      <c r="AH105" s="48">
        <f t="shared" si="74"/>
        <v>0</v>
      </c>
      <c r="AI105" s="47">
        <f>+IFERROR(AVERAGE(W105:AH105),0)</f>
        <v>0.16666666666666666</v>
      </c>
      <c r="AJ105" s="134">
        <f>SUM(W105:AH105)</f>
        <v>2</v>
      </c>
    </row>
    <row r="106" spans="2:43" ht="12" customHeight="1" x14ac:dyDescent="0.2">
      <c r="B106" s="1" t="str">
        <f t="shared" si="79"/>
        <v>ridgecommercialRACCESS</v>
      </c>
      <c r="C106" s="58" t="s">
        <v>698</v>
      </c>
      <c r="D106" s="58" t="s">
        <v>294</v>
      </c>
      <c r="E106" s="11">
        <v>32.86</v>
      </c>
      <c r="F106" s="11">
        <v>32.86</v>
      </c>
      <c r="G106" s="11">
        <v>35.29</v>
      </c>
      <c r="H106" s="55"/>
      <c r="I106" s="14">
        <v>1519.1499999999999</v>
      </c>
      <c r="J106" s="14">
        <v>1511.56</v>
      </c>
      <c r="K106" s="14">
        <v>1511.56</v>
      </c>
      <c r="L106" s="14">
        <v>1511.56</v>
      </c>
      <c r="M106" s="14">
        <v>1544.42</v>
      </c>
      <c r="N106" s="14">
        <v>1544.42</v>
      </c>
      <c r="O106" s="14">
        <v>1544.42</v>
      </c>
      <c r="P106" s="14">
        <v>1544.42</v>
      </c>
      <c r="Q106" s="14">
        <v>1544.42</v>
      </c>
      <c r="R106" s="14">
        <v>1685.1</v>
      </c>
      <c r="S106" s="14">
        <v>1666.7800000000002</v>
      </c>
      <c r="T106" s="14">
        <v>1693.92</v>
      </c>
      <c r="U106" s="73">
        <f t="shared" si="62"/>
        <v>18821.730000000003</v>
      </c>
      <c r="W106" s="48">
        <f t="shared" si="63"/>
        <v>46.230979914790012</v>
      </c>
      <c r="X106" s="48">
        <f t="shared" si="64"/>
        <v>46</v>
      </c>
      <c r="Y106" s="48">
        <f t="shared" si="65"/>
        <v>46</v>
      </c>
      <c r="Z106" s="48">
        <f t="shared" si="66"/>
        <v>46</v>
      </c>
      <c r="AA106" s="48">
        <f t="shared" si="67"/>
        <v>47</v>
      </c>
      <c r="AB106" s="48">
        <f t="shared" si="68"/>
        <v>47</v>
      </c>
      <c r="AC106" s="48">
        <f t="shared" si="69"/>
        <v>47</v>
      </c>
      <c r="AD106" s="48">
        <f t="shared" si="70"/>
        <v>47</v>
      </c>
      <c r="AE106" s="48">
        <f t="shared" si="71"/>
        <v>47</v>
      </c>
      <c r="AF106" s="48">
        <f t="shared" si="72"/>
        <v>47.750070841598188</v>
      </c>
      <c r="AG106" s="48">
        <f t="shared" si="73"/>
        <v>47.230943610087849</v>
      </c>
      <c r="AH106" s="48">
        <f t="shared" si="74"/>
        <v>48</v>
      </c>
      <c r="AI106" s="47">
        <f t="shared" si="75"/>
        <v>46.850999530539667</v>
      </c>
      <c r="AJ106" s="134">
        <f t="shared" si="76"/>
        <v>562.21199436647601</v>
      </c>
    </row>
    <row r="107" spans="2:43" ht="12" customHeight="1" x14ac:dyDescent="0.2">
      <c r="B107" s="1" t="str">
        <f t="shared" si="79"/>
        <v>ridgecommercialRCPLACE</v>
      </c>
      <c r="C107" s="58" t="s">
        <v>699</v>
      </c>
      <c r="D107" s="58" t="s">
        <v>274</v>
      </c>
      <c r="E107" s="11">
        <v>22.8</v>
      </c>
      <c r="F107" s="11">
        <v>22.8</v>
      </c>
      <c r="G107" s="11">
        <v>24.49</v>
      </c>
      <c r="H107" s="55"/>
      <c r="I107" s="14">
        <v>0</v>
      </c>
      <c r="J107" s="14">
        <v>22.8</v>
      </c>
      <c r="K107" s="14">
        <v>91.2</v>
      </c>
      <c r="L107" s="14">
        <v>68.400000000000006</v>
      </c>
      <c r="M107" s="14">
        <v>0</v>
      </c>
      <c r="N107" s="14">
        <v>22.8</v>
      </c>
      <c r="O107" s="14">
        <v>45.6</v>
      </c>
      <c r="P107" s="14">
        <v>0</v>
      </c>
      <c r="Q107" s="14">
        <v>0</v>
      </c>
      <c r="R107" s="14">
        <v>0</v>
      </c>
      <c r="S107" s="14">
        <v>0</v>
      </c>
      <c r="T107" s="14">
        <v>24.49</v>
      </c>
      <c r="U107" s="73">
        <f t="shared" si="62"/>
        <v>275.29000000000002</v>
      </c>
      <c r="W107" s="48">
        <f t="shared" si="63"/>
        <v>0</v>
      </c>
      <c r="X107" s="48">
        <f t="shared" si="64"/>
        <v>1</v>
      </c>
      <c r="Y107" s="48">
        <f t="shared" si="65"/>
        <v>4</v>
      </c>
      <c r="Z107" s="48">
        <f t="shared" si="66"/>
        <v>3</v>
      </c>
      <c r="AA107" s="48">
        <f t="shared" si="67"/>
        <v>0</v>
      </c>
      <c r="AB107" s="48">
        <f t="shared" si="68"/>
        <v>1</v>
      </c>
      <c r="AC107" s="48">
        <f t="shared" si="69"/>
        <v>2</v>
      </c>
      <c r="AD107" s="48">
        <f t="shared" si="70"/>
        <v>0</v>
      </c>
      <c r="AE107" s="48">
        <f t="shared" si="71"/>
        <v>0</v>
      </c>
      <c r="AF107" s="48">
        <f t="shared" si="72"/>
        <v>0</v>
      </c>
      <c r="AG107" s="48">
        <f t="shared" si="73"/>
        <v>0</v>
      </c>
      <c r="AH107" s="48">
        <f t="shared" si="74"/>
        <v>1</v>
      </c>
      <c r="AI107" s="47">
        <f t="shared" si="75"/>
        <v>1</v>
      </c>
      <c r="AJ107" s="134">
        <f t="shared" si="76"/>
        <v>12</v>
      </c>
    </row>
    <row r="108" spans="2:43" ht="12" customHeight="1" x14ac:dyDescent="0.2">
      <c r="B108" s="1" t="str">
        <f t="shared" si="79"/>
        <v>ridgecommercialCCEXCAN</v>
      </c>
      <c r="C108" s="58" t="s">
        <v>174</v>
      </c>
      <c r="D108" s="58" t="s">
        <v>270</v>
      </c>
      <c r="E108" s="11">
        <v>6.99</v>
      </c>
      <c r="F108" s="11">
        <v>6.99</v>
      </c>
      <c r="G108" s="11">
        <v>7.51</v>
      </c>
      <c r="H108" s="55"/>
      <c r="I108" s="14">
        <v>6.99</v>
      </c>
      <c r="J108" s="14">
        <v>20.97</v>
      </c>
      <c r="K108" s="14">
        <v>6.99</v>
      </c>
      <c r="L108" s="14">
        <v>6.99</v>
      </c>
      <c r="M108" s="14">
        <v>6.99</v>
      </c>
      <c r="N108" s="14">
        <v>6.99</v>
      </c>
      <c r="O108" s="14">
        <v>0</v>
      </c>
      <c r="P108" s="14">
        <v>0</v>
      </c>
      <c r="Q108" s="14">
        <v>69.900000000000006</v>
      </c>
      <c r="R108" s="14">
        <v>0</v>
      </c>
      <c r="S108" s="14">
        <v>30.04</v>
      </c>
      <c r="T108" s="14">
        <v>7.51</v>
      </c>
      <c r="U108" s="73">
        <f t="shared" si="62"/>
        <v>163.37</v>
      </c>
      <c r="W108" s="48">
        <f t="shared" si="63"/>
        <v>1</v>
      </c>
      <c r="X108" s="48">
        <f t="shared" si="64"/>
        <v>2.9999999999999996</v>
      </c>
      <c r="Y108" s="48">
        <f t="shared" si="65"/>
        <v>1</v>
      </c>
      <c r="Z108" s="48">
        <f t="shared" si="66"/>
        <v>1</v>
      </c>
      <c r="AA108" s="48">
        <f t="shared" si="67"/>
        <v>1</v>
      </c>
      <c r="AB108" s="48">
        <f t="shared" si="68"/>
        <v>1</v>
      </c>
      <c r="AC108" s="48">
        <f t="shared" si="69"/>
        <v>0</v>
      </c>
      <c r="AD108" s="48">
        <f t="shared" si="70"/>
        <v>0</v>
      </c>
      <c r="AE108" s="48">
        <f t="shared" si="71"/>
        <v>10</v>
      </c>
      <c r="AF108" s="48">
        <f t="shared" si="72"/>
        <v>0</v>
      </c>
      <c r="AG108" s="48">
        <f t="shared" si="73"/>
        <v>4</v>
      </c>
      <c r="AH108" s="48">
        <f t="shared" si="74"/>
        <v>1</v>
      </c>
      <c r="AI108" s="47">
        <f t="shared" si="75"/>
        <v>1.9166666666666667</v>
      </c>
      <c r="AJ108" s="134">
        <f t="shared" si="76"/>
        <v>23</v>
      </c>
    </row>
    <row r="109" spans="2:43" ht="12" customHeight="1" x14ac:dyDescent="0.2">
      <c r="B109" s="1" t="str">
        <f t="shared" si="79"/>
        <v>ridgecommercialCCEXYD</v>
      </c>
      <c r="C109" s="58" t="s">
        <v>175</v>
      </c>
      <c r="D109" s="58" t="s">
        <v>271</v>
      </c>
      <c r="E109" s="11">
        <v>30.95</v>
      </c>
      <c r="F109" s="11">
        <v>30.95</v>
      </c>
      <c r="G109" s="11">
        <v>33.24</v>
      </c>
      <c r="H109" s="55"/>
      <c r="I109" s="14">
        <v>61.9</v>
      </c>
      <c r="J109" s="14">
        <v>278.55</v>
      </c>
      <c r="K109" s="14">
        <v>588.04999999999995</v>
      </c>
      <c r="L109" s="14">
        <v>309.5</v>
      </c>
      <c r="M109" s="14">
        <v>247.6</v>
      </c>
      <c r="N109" s="14">
        <v>804.7</v>
      </c>
      <c r="O109" s="14">
        <v>154.75</v>
      </c>
      <c r="P109" s="14">
        <v>402.35</v>
      </c>
      <c r="Q109" s="14">
        <v>340.45</v>
      </c>
      <c r="R109" s="14">
        <v>612.65</v>
      </c>
      <c r="S109" s="14">
        <v>182.82</v>
      </c>
      <c r="T109" s="14">
        <v>664.8</v>
      </c>
      <c r="U109" s="73">
        <f t="shared" si="62"/>
        <v>4648.12</v>
      </c>
      <c r="W109" s="48">
        <f t="shared" si="63"/>
        <v>2</v>
      </c>
      <c r="X109" s="48">
        <f t="shared" si="64"/>
        <v>9</v>
      </c>
      <c r="Y109" s="48">
        <f t="shared" si="65"/>
        <v>19</v>
      </c>
      <c r="Z109" s="48">
        <f t="shared" si="66"/>
        <v>10</v>
      </c>
      <c r="AA109" s="48">
        <f t="shared" si="67"/>
        <v>8</v>
      </c>
      <c r="AB109" s="48">
        <f t="shared" si="68"/>
        <v>26.000000000000004</v>
      </c>
      <c r="AC109" s="48">
        <f t="shared" si="69"/>
        <v>5</v>
      </c>
      <c r="AD109" s="48">
        <f t="shared" si="70"/>
        <v>13.000000000000002</v>
      </c>
      <c r="AE109" s="48">
        <f t="shared" si="71"/>
        <v>11</v>
      </c>
      <c r="AF109" s="48">
        <f t="shared" si="72"/>
        <v>18.431107099879661</v>
      </c>
      <c r="AG109" s="48">
        <f t="shared" si="73"/>
        <v>5.4999999999999991</v>
      </c>
      <c r="AH109" s="48">
        <f t="shared" si="74"/>
        <v>19.999999999999996</v>
      </c>
      <c r="AI109" s="47">
        <f t="shared" si="75"/>
        <v>12.244258924989971</v>
      </c>
      <c r="AJ109" s="134">
        <f t="shared" si="76"/>
        <v>146.93110709987965</v>
      </c>
    </row>
    <row r="110" spans="2:43" ht="12" customHeight="1" x14ac:dyDescent="0.25">
      <c r="B110" s="1" t="str">
        <f t="shared" si="79"/>
        <v>ridgecommercialRC15YPR</v>
      </c>
      <c r="C110" s="58" t="s">
        <v>700</v>
      </c>
      <c r="D110" s="58" t="s">
        <v>277</v>
      </c>
      <c r="E110" s="11">
        <v>16.690000000000001</v>
      </c>
      <c r="F110" s="11">
        <v>16.690000000000001</v>
      </c>
      <c r="G110" s="11">
        <v>17.93</v>
      </c>
      <c r="H110" s="55"/>
      <c r="I110" s="14">
        <v>100.14</v>
      </c>
      <c r="J110" s="14">
        <v>100.14</v>
      </c>
      <c r="K110" s="14">
        <v>100.14</v>
      </c>
      <c r="L110" s="14">
        <v>100.14</v>
      </c>
      <c r="M110" s="14">
        <v>100.14</v>
      </c>
      <c r="N110" s="14">
        <v>100.14</v>
      </c>
      <c r="O110" s="14">
        <v>100.14</v>
      </c>
      <c r="P110" s="14">
        <v>100.14</v>
      </c>
      <c r="Q110" s="14">
        <v>100.14</v>
      </c>
      <c r="R110" s="14">
        <v>107.58</v>
      </c>
      <c r="S110" s="14">
        <v>107.58</v>
      </c>
      <c r="T110" s="14">
        <v>107.58</v>
      </c>
      <c r="U110" s="73">
        <f t="shared" si="62"/>
        <v>1224</v>
      </c>
      <c r="W110" s="48">
        <f t="shared" si="63"/>
        <v>6</v>
      </c>
      <c r="X110" s="48">
        <f t="shared" si="64"/>
        <v>6</v>
      </c>
      <c r="Y110" s="48">
        <f t="shared" si="65"/>
        <v>6</v>
      </c>
      <c r="Z110" s="48">
        <f t="shared" si="66"/>
        <v>6</v>
      </c>
      <c r="AA110" s="48">
        <f t="shared" si="67"/>
        <v>6</v>
      </c>
      <c r="AB110" s="48">
        <f t="shared" si="68"/>
        <v>6</v>
      </c>
      <c r="AC110" s="48">
        <f t="shared" si="69"/>
        <v>6</v>
      </c>
      <c r="AD110" s="48">
        <f t="shared" si="70"/>
        <v>6</v>
      </c>
      <c r="AE110" s="48">
        <f t="shared" si="71"/>
        <v>6</v>
      </c>
      <c r="AF110" s="48">
        <f t="shared" si="72"/>
        <v>6</v>
      </c>
      <c r="AG110" s="48">
        <f t="shared" si="73"/>
        <v>6</v>
      </c>
      <c r="AH110" s="48">
        <f t="shared" si="74"/>
        <v>6</v>
      </c>
      <c r="AI110" s="47">
        <f t="shared" si="75"/>
        <v>6</v>
      </c>
      <c r="AJ110" s="134">
        <f t="shared" si="76"/>
        <v>72</v>
      </c>
      <c r="AK110"/>
    </row>
    <row r="111" spans="2:43" ht="12" customHeight="1" x14ac:dyDescent="0.2">
      <c r="B111" s="1" t="str">
        <f t="shared" si="79"/>
        <v>ridgecommercialRC1YPR</v>
      </c>
      <c r="C111" s="58" t="s">
        <v>701</v>
      </c>
      <c r="D111" s="58" t="s">
        <v>709</v>
      </c>
      <c r="E111" s="11">
        <v>15.19</v>
      </c>
      <c r="F111" s="11">
        <v>15.19</v>
      </c>
      <c r="G111" s="11">
        <v>16.309999999999999</v>
      </c>
      <c r="H111" s="55"/>
      <c r="I111" s="14">
        <v>182.28</v>
      </c>
      <c r="J111" s="14">
        <v>182.28</v>
      </c>
      <c r="K111" s="14">
        <v>182.28</v>
      </c>
      <c r="L111" s="14">
        <v>167.09</v>
      </c>
      <c r="M111" s="14">
        <v>167.09</v>
      </c>
      <c r="N111" s="14">
        <v>167.09</v>
      </c>
      <c r="O111" s="14">
        <v>167.09</v>
      </c>
      <c r="P111" s="14">
        <v>167.09</v>
      </c>
      <c r="Q111" s="14">
        <v>167.09</v>
      </c>
      <c r="R111" s="14">
        <v>179.41</v>
      </c>
      <c r="S111" s="14">
        <v>179.41</v>
      </c>
      <c r="T111" s="14">
        <v>179.41</v>
      </c>
      <c r="U111" s="73">
        <f t="shared" si="62"/>
        <v>2087.61</v>
      </c>
      <c r="W111" s="48">
        <f t="shared" si="63"/>
        <v>12</v>
      </c>
      <c r="X111" s="48">
        <f t="shared" si="64"/>
        <v>12</v>
      </c>
      <c r="Y111" s="48">
        <f t="shared" si="65"/>
        <v>12</v>
      </c>
      <c r="Z111" s="48">
        <f t="shared" si="66"/>
        <v>11</v>
      </c>
      <c r="AA111" s="48">
        <f t="shared" si="67"/>
        <v>11</v>
      </c>
      <c r="AB111" s="48">
        <f t="shared" si="68"/>
        <v>11</v>
      </c>
      <c r="AC111" s="48">
        <f t="shared" si="69"/>
        <v>11</v>
      </c>
      <c r="AD111" s="48">
        <f t="shared" si="70"/>
        <v>11</v>
      </c>
      <c r="AE111" s="48">
        <f t="shared" si="71"/>
        <v>11</v>
      </c>
      <c r="AF111" s="48">
        <f t="shared" si="72"/>
        <v>11</v>
      </c>
      <c r="AG111" s="48">
        <f t="shared" si="73"/>
        <v>11</v>
      </c>
      <c r="AH111" s="48">
        <f t="shared" si="74"/>
        <v>11</v>
      </c>
      <c r="AI111" s="47">
        <f t="shared" si="75"/>
        <v>11.25</v>
      </c>
      <c r="AJ111" s="134">
        <f t="shared" si="76"/>
        <v>135</v>
      </c>
    </row>
    <row r="112" spans="2:43" ht="12" customHeight="1" x14ac:dyDescent="0.2">
      <c r="B112" s="1" t="str">
        <f t="shared" si="79"/>
        <v>ridgecommercialRC2YPR</v>
      </c>
      <c r="C112" s="58" t="s">
        <v>702</v>
      </c>
      <c r="D112" s="58" t="s">
        <v>278</v>
      </c>
      <c r="E112" s="11">
        <v>18.21</v>
      </c>
      <c r="F112" s="11">
        <v>18.21</v>
      </c>
      <c r="G112" s="11">
        <v>19.559999999999999</v>
      </c>
      <c r="H112" s="55"/>
      <c r="I112" s="14">
        <v>309.57</v>
      </c>
      <c r="J112" s="14">
        <v>327.78</v>
      </c>
      <c r="K112" s="14">
        <v>309.57</v>
      </c>
      <c r="L112" s="14">
        <v>306.52999999999997</v>
      </c>
      <c r="M112" s="14">
        <v>291.36</v>
      </c>
      <c r="N112" s="14">
        <v>273.14999999999998</v>
      </c>
      <c r="O112" s="14">
        <v>273.14999999999998</v>
      </c>
      <c r="P112" s="14">
        <v>273.14999999999998</v>
      </c>
      <c r="Q112" s="14">
        <v>273.14999999999998</v>
      </c>
      <c r="R112" s="14">
        <v>307.08999999999997</v>
      </c>
      <c r="S112" s="14">
        <v>312.95999999999998</v>
      </c>
      <c r="T112" s="14">
        <v>316.22000000000003</v>
      </c>
      <c r="U112" s="73">
        <f t="shared" si="62"/>
        <v>3573.6800000000003</v>
      </c>
      <c r="W112" s="48">
        <f t="shared" si="63"/>
        <v>17</v>
      </c>
      <c r="X112" s="48">
        <f t="shared" si="64"/>
        <v>17.999999999999996</v>
      </c>
      <c r="Y112" s="48">
        <f t="shared" si="65"/>
        <v>17</v>
      </c>
      <c r="Z112" s="48">
        <f t="shared" si="66"/>
        <v>16.833058758923666</v>
      </c>
      <c r="AA112" s="48">
        <f t="shared" si="67"/>
        <v>16</v>
      </c>
      <c r="AB112" s="48">
        <f t="shared" si="68"/>
        <v>14.999999999999998</v>
      </c>
      <c r="AC112" s="48">
        <f t="shared" si="69"/>
        <v>14.999999999999998</v>
      </c>
      <c r="AD112" s="48">
        <f t="shared" si="70"/>
        <v>14.999999999999998</v>
      </c>
      <c r="AE112" s="48">
        <f t="shared" si="71"/>
        <v>14.999999999999998</v>
      </c>
      <c r="AF112" s="48">
        <f t="shared" si="72"/>
        <v>15.699897750511248</v>
      </c>
      <c r="AG112" s="48">
        <f t="shared" si="73"/>
        <v>16</v>
      </c>
      <c r="AH112" s="48">
        <f t="shared" si="74"/>
        <v>16.166666666666668</v>
      </c>
      <c r="AI112" s="47">
        <f t="shared" si="75"/>
        <v>16.058301931341799</v>
      </c>
      <c r="AJ112" s="134">
        <f t="shared" si="76"/>
        <v>192.69962317610157</v>
      </c>
    </row>
    <row r="113" spans="1:43" ht="12" customHeight="1" x14ac:dyDescent="0.2">
      <c r="B113" s="1" t="str">
        <f t="shared" si="79"/>
        <v>ridgecommercialRC3YPR</v>
      </c>
      <c r="C113" s="58" t="s">
        <v>703</v>
      </c>
      <c r="D113" s="58" t="s">
        <v>279</v>
      </c>
      <c r="E113" s="11">
        <v>19.77</v>
      </c>
      <c r="F113" s="11">
        <v>19.77</v>
      </c>
      <c r="G113" s="11">
        <v>21.23</v>
      </c>
      <c r="H113" s="55"/>
      <c r="I113" s="14">
        <v>296.55</v>
      </c>
      <c r="J113" s="14">
        <v>296.55</v>
      </c>
      <c r="K113" s="14">
        <v>316.32</v>
      </c>
      <c r="L113" s="14">
        <v>316.32</v>
      </c>
      <c r="M113" s="14">
        <v>316.32</v>
      </c>
      <c r="N113" s="14">
        <v>316.32</v>
      </c>
      <c r="O113" s="14">
        <v>285.35000000000002</v>
      </c>
      <c r="P113" s="14">
        <v>276.77999999999997</v>
      </c>
      <c r="Q113" s="14">
        <v>296.55</v>
      </c>
      <c r="R113" s="14">
        <v>318.45</v>
      </c>
      <c r="S113" s="14">
        <v>318.45</v>
      </c>
      <c r="T113" s="14">
        <v>318.45</v>
      </c>
      <c r="U113" s="73">
        <f t="shared" si="62"/>
        <v>3672.41</v>
      </c>
      <c r="W113" s="48">
        <f t="shared" si="63"/>
        <v>15.000000000000002</v>
      </c>
      <c r="X113" s="48">
        <f t="shared" si="64"/>
        <v>15.000000000000002</v>
      </c>
      <c r="Y113" s="48">
        <f t="shared" si="65"/>
        <v>16</v>
      </c>
      <c r="Z113" s="48">
        <f t="shared" si="66"/>
        <v>16</v>
      </c>
      <c r="AA113" s="48">
        <f t="shared" si="67"/>
        <v>16</v>
      </c>
      <c r="AB113" s="48">
        <f t="shared" si="68"/>
        <v>16</v>
      </c>
      <c r="AC113" s="48">
        <f t="shared" si="69"/>
        <v>14.43348507840162</v>
      </c>
      <c r="AD113" s="48">
        <f t="shared" si="70"/>
        <v>13.999999999999998</v>
      </c>
      <c r="AE113" s="48">
        <f t="shared" si="71"/>
        <v>15.000000000000002</v>
      </c>
      <c r="AF113" s="48">
        <f t="shared" si="72"/>
        <v>15</v>
      </c>
      <c r="AG113" s="48">
        <f t="shared" si="73"/>
        <v>15</v>
      </c>
      <c r="AH113" s="48">
        <f t="shared" si="74"/>
        <v>15</v>
      </c>
      <c r="AI113" s="47">
        <f t="shared" si="75"/>
        <v>15.202790423200135</v>
      </c>
      <c r="AJ113" s="134">
        <f t="shared" si="76"/>
        <v>182.43348507840162</v>
      </c>
    </row>
    <row r="114" spans="1:43" ht="12" customHeight="1" x14ac:dyDescent="0.2">
      <c r="B114" s="1" t="str">
        <f t="shared" si="79"/>
        <v>ridgecommercialRC4YPR</v>
      </c>
      <c r="C114" s="58" t="s">
        <v>704</v>
      </c>
      <c r="D114" s="58" t="s">
        <v>280</v>
      </c>
      <c r="E114" s="11">
        <v>21.26</v>
      </c>
      <c r="F114" s="11">
        <v>21.26</v>
      </c>
      <c r="G114" s="11">
        <v>22.83</v>
      </c>
      <c r="H114" s="55"/>
      <c r="I114" s="14">
        <v>407.48</v>
      </c>
      <c r="J114" s="14">
        <v>425.2</v>
      </c>
      <c r="K114" s="14">
        <v>425.2</v>
      </c>
      <c r="L114" s="14">
        <v>447.87</v>
      </c>
      <c r="M114" s="14">
        <v>471.97</v>
      </c>
      <c r="N114" s="14">
        <v>450</v>
      </c>
      <c r="O114" s="14">
        <v>461.34</v>
      </c>
      <c r="P114" s="14">
        <v>467.72</v>
      </c>
      <c r="Q114" s="14">
        <v>467.72</v>
      </c>
      <c r="R114" s="14">
        <v>502.26</v>
      </c>
      <c r="S114" s="14">
        <v>502.26</v>
      </c>
      <c r="T114" s="14">
        <v>502.26</v>
      </c>
      <c r="U114" s="73">
        <f t="shared" si="62"/>
        <v>5531.2800000000016</v>
      </c>
      <c r="W114" s="48">
        <f t="shared" si="63"/>
        <v>19.166509877704609</v>
      </c>
      <c r="X114" s="48">
        <f t="shared" si="64"/>
        <v>19.999999999999996</v>
      </c>
      <c r="Y114" s="48">
        <f t="shared" si="65"/>
        <v>19.999999999999996</v>
      </c>
      <c r="Z114" s="48">
        <f t="shared" si="66"/>
        <v>21.06632173095014</v>
      </c>
      <c r="AA114" s="48">
        <f t="shared" si="67"/>
        <v>22.199905926622765</v>
      </c>
      <c r="AB114" s="48">
        <f t="shared" si="68"/>
        <v>21.166509877704609</v>
      </c>
      <c r="AC114" s="48">
        <f t="shared" si="69"/>
        <v>21.699905926622762</v>
      </c>
      <c r="AD114" s="48">
        <f t="shared" si="70"/>
        <v>22</v>
      </c>
      <c r="AE114" s="48">
        <f t="shared" si="71"/>
        <v>22</v>
      </c>
      <c r="AF114" s="48">
        <f t="shared" si="72"/>
        <v>22</v>
      </c>
      <c r="AG114" s="48">
        <f t="shared" si="73"/>
        <v>22</v>
      </c>
      <c r="AH114" s="48">
        <f t="shared" si="74"/>
        <v>22</v>
      </c>
      <c r="AI114" s="47">
        <f t="shared" si="75"/>
        <v>21.274929444967071</v>
      </c>
      <c r="AJ114" s="134">
        <f t="shared" si="76"/>
        <v>255.29915333960486</v>
      </c>
    </row>
    <row r="115" spans="1:43" ht="12" customHeight="1" x14ac:dyDescent="0.2">
      <c r="B115" s="1" t="str">
        <f t="shared" si="79"/>
        <v>ridgecommercialRC6YPR</v>
      </c>
      <c r="C115" s="58" t="s">
        <v>705</v>
      </c>
      <c r="D115" s="58" t="s">
        <v>282</v>
      </c>
      <c r="E115" s="11">
        <v>24.29</v>
      </c>
      <c r="F115" s="11">
        <v>24.29</v>
      </c>
      <c r="G115" s="11">
        <v>26.09</v>
      </c>
      <c r="H115" s="55"/>
      <c r="I115" s="14">
        <v>315.77</v>
      </c>
      <c r="J115" s="14">
        <v>315.77</v>
      </c>
      <c r="K115" s="14">
        <v>315.77</v>
      </c>
      <c r="L115" s="14">
        <v>315.77</v>
      </c>
      <c r="M115" s="14">
        <v>315.77</v>
      </c>
      <c r="N115" s="14">
        <v>336.01</v>
      </c>
      <c r="O115" s="14">
        <v>328.72</v>
      </c>
      <c r="P115" s="14">
        <v>315.77</v>
      </c>
      <c r="Q115" s="14">
        <v>315.77</v>
      </c>
      <c r="R115" s="14">
        <v>313.08</v>
      </c>
      <c r="S115" s="14">
        <v>313.08</v>
      </c>
      <c r="T115" s="14">
        <v>313.08</v>
      </c>
      <c r="U115" s="73">
        <f t="shared" si="62"/>
        <v>3814.3599999999997</v>
      </c>
      <c r="W115" s="48">
        <f t="shared" si="63"/>
        <v>13</v>
      </c>
      <c r="X115" s="48">
        <f t="shared" si="64"/>
        <v>13</v>
      </c>
      <c r="Y115" s="48">
        <f t="shared" si="65"/>
        <v>13</v>
      </c>
      <c r="Z115" s="48">
        <f t="shared" si="66"/>
        <v>13</v>
      </c>
      <c r="AA115" s="48">
        <f t="shared" si="67"/>
        <v>13</v>
      </c>
      <c r="AB115" s="48">
        <f t="shared" si="68"/>
        <v>13.833264717990943</v>
      </c>
      <c r="AC115" s="48">
        <f t="shared" si="69"/>
        <v>13.533141210374641</v>
      </c>
      <c r="AD115" s="48">
        <f t="shared" si="70"/>
        <v>13</v>
      </c>
      <c r="AE115" s="48">
        <f t="shared" si="71"/>
        <v>13</v>
      </c>
      <c r="AF115" s="48">
        <f t="shared" si="72"/>
        <v>12</v>
      </c>
      <c r="AG115" s="48">
        <f t="shared" si="73"/>
        <v>12</v>
      </c>
      <c r="AH115" s="48">
        <f t="shared" si="74"/>
        <v>12</v>
      </c>
      <c r="AI115" s="47">
        <f t="shared" si="75"/>
        <v>12.863867160697131</v>
      </c>
      <c r="AJ115" s="134">
        <f t="shared" si="76"/>
        <v>154.36640592836557</v>
      </c>
    </row>
    <row r="116" spans="1:43" ht="12" customHeight="1" x14ac:dyDescent="0.2">
      <c r="B116" s="1" t="str">
        <f t="shared" si="79"/>
        <v>ridgecommercialRC8YPR</v>
      </c>
      <c r="C116" s="58" t="s">
        <v>706</v>
      </c>
      <c r="D116" s="58" t="s">
        <v>283</v>
      </c>
      <c r="E116" s="11">
        <v>27.36</v>
      </c>
      <c r="F116" s="11">
        <v>27.36</v>
      </c>
      <c r="G116" s="11">
        <v>29.38</v>
      </c>
      <c r="H116" s="55"/>
      <c r="I116" s="14">
        <v>246.24</v>
      </c>
      <c r="J116" s="14">
        <v>246.24</v>
      </c>
      <c r="K116" s="14">
        <v>246.24</v>
      </c>
      <c r="L116" s="14">
        <v>246.24</v>
      </c>
      <c r="M116" s="14">
        <v>246.24</v>
      </c>
      <c r="N116" s="14">
        <v>246.24</v>
      </c>
      <c r="O116" s="14">
        <v>270.86</v>
      </c>
      <c r="P116" s="14">
        <v>273.60000000000002</v>
      </c>
      <c r="Q116" s="14">
        <v>273.60000000000002</v>
      </c>
      <c r="R116" s="14">
        <v>323.18</v>
      </c>
      <c r="S116" s="14">
        <v>323.18</v>
      </c>
      <c r="T116" s="14">
        <v>352.56</v>
      </c>
      <c r="U116" s="73">
        <f t="shared" si="62"/>
        <v>3294.4199999999996</v>
      </c>
      <c r="W116" s="48">
        <f t="shared" si="63"/>
        <v>9</v>
      </c>
      <c r="X116" s="48">
        <f t="shared" si="64"/>
        <v>9</v>
      </c>
      <c r="Y116" s="48">
        <f t="shared" si="65"/>
        <v>9</v>
      </c>
      <c r="Z116" s="48">
        <f t="shared" si="66"/>
        <v>9</v>
      </c>
      <c r="AA116" s="48">
        <f t="shared" si="67"/>
        <v>9</v>
      </c>
      <c r="AB116" s="48">
        <f t="shared" si="68"/>
        <v>9</v>
      </c>
      <c r="AC116" s="48">
        <f t="shared" si="69"/>
        <v>9.8998538011695913</v>
      </c>
      <c r="AD116" s="48">
        <f t="shared" si="70"/>
        <v>10.000000000000002</v>
      </c>
      <c r="AE116" s="48">
        <f t="shared" si="71"/>
        <v>10.000000000000002</v>
      </c>
      <c r="AF116" s="48">
        <f t="shared" si="72"/>
        <v>11</v>
      </c>
      <c r="AG116" s="48">
        <f t="shared" si="73"/>
        <v>11</v>
      </c>
      <c r="AH116" s="48">
        <f t="shared" si="74"/>
        <v>12</v>
      </c>
      <c r="AI116" s="47">
        <f t="shared" si="75"/>
        <v>9.8249878167641338</v>
      </c>
      <c r="AJ116" s="134">
        <f t="shared" si="76"/>
        <v>117.8998538011696</v>
      </c>
    </row>
    <row r="117" spans="1:43" ht="12" customHeight="1" x14ac:dyDescent="0.2">
      <c r="B117" s="1" t="str">
        <f t="shared" si="79"/>
        <v>ridgecommercialRROLLOUT</v>
      </c>
      <c r="C117" s="58" t="s">
        <v>707</v>
      </c>
      <c r="D117" s="58" t="s">
        <v>300</v>
      </c>
      <c r="E117" s="11">
        <v>52.7</v>
      </c>
      <c r="F117" s="11">
        <v>52.7</v>
      </c>
      <c r="G117" s="11">
        <v>56.6</v>
      </c>
      <c r="H117" s="55"/>
      <c r="I117" s="14">
        <v>2067.4700000000003</v>
      </c>
      <c r="J117" s="14">
        <v>1949.9</v>
      </c>
      <c r="K117" s="14">
        <v>1974.24</v>
      </c>
      <c r="L117" s="14">
        <v>1949.9</v>
      </c>
      <c r="M117" s="14">
        <v>1949.9</v>
      </c>
      <c r="N117" s="14">
        <v>1949.9</v>
      </c>
      <c r="O117" s="14">
        <v>1949.9</v>
      </c>
      <c r="P117" s="14">
        <v>1949.9</v>
      </c>
      <c r="Q117" s="14">
        <v>1949.9</v>
      </c>
      <c r="R117" s="14">
        <v>2094.1999999999998</v>
      </c>
      <c r="S117" s="14">
        <v>2120.3399999999997</v>
      </c>
      <c r="T117" s="14">
        <v>2206.3200000000002</v>
      </c>
      <c r="U117" s="73">
        <f t="shared" si="62"/>
        <v>24111.87</v>
      </c>
      <c r="W117" s="48">
        <f t="shared" si="63"/>
        <v>39.23092979127135</v>
      </c>
      <c r="X117" s="48">
        <f t="shared" si="64"/>
        <v>37</v>
      </c>
      <c r="Y117" s="48">
        <f t="shared" si="65"/>
        <v>37.461859582542694</v>
      </c>
      <c r="Z117" s="48">
        <f t="shared" si="66"/>
        <v>37</v>
      </c>
      <c r="AA117" s="48">
        <f t="shared" si="67"/>
        <v>37</v>
      </c>
      <c r="AB117" s="48">
        <f t="shared" si="68"/>
        <v>37</v>
      </c>
      <c r="AC117" s="48">
        <f t="shared" si="69"/>
        <v>37</v>
      </c>
      <c r="AD117" s="48">
        <f t="shared" si="70"/>
        <v>37</v>
      </c>
      <c r="AE117" s="48">
        <f t="shared" si="71"/>
        <v>37</v>
      </c>
      <c r="AF117" s="48">
        <f t="shared" si="72"/>
        <v>36.999999999999993</v>
      </c>
      <c r="AG117" s="48">
        <f t="shared" si="73"/>
        <v>37.461837455830384</v>
      </c>
      <c r="AH117" s="48">
        <f t="shared" si="74"/>
        <v>38.980918727915196</v>
      </c>
      <c r="AI117" s="47">
        <f t="shared" si="75"/>
        <v>37.427962129796633</v>
      </c>
      <c r="AJ117" s="134">
        <f t="shared" si="76"/>
        <v>449.13554555755962</v>
      </c>
    </row>
    <row r="118" spans="1:43" ht="12" customHeight="1" x14ac:dyDescent="0.2">
      <c r="B118" s="1" t="str">
        <f t="shared" si="79"/>
        <v>ridgecommercialCTIME1M</v>
      </c>
      <c r="C118" s="58" t="s">
        <v>197</v>
      </c>
      <c r="D118" s="58" t="s">
        <v>102</v>
      </c>
      <c r="E118" s="11">
        <v>1.19</v>
      </c>
      <c r="F118" s="11">
        <v>1.19</v>
      </c>
      <c r="G118" s="11">
        <v>1.28</v>
      </c>
      <c r="H118" s="55"/>
      <c r="I118" s="14">
        <v>0</v>
      </c>
      <c r="J118" s="14">
        <v>0</v>
      </c>
      <c r="K118" s="14">
        <v>35.700000000000003</v>
      </c>
      <c r="L118" s="14">
        <v>53.55</v>
      </c>
      <c r="M118" s="14">
        <v>0</v>
      </c>
      <c r="N118" s="14">
        <v>35.700000000000003</v>
      </c>
      <c r="O118" s="14">
        <v>35.700000000000003</v>
      </c>
      <c r="P118" s="14">
        <v>35.700000000000003</v>
      </c>
      <c r="Q118" s="14">
        <v>0</v>
      </c>
      <c r="R118" s="14">
        <v>0</v>
      </c>
      <c r="S118" s="14">
        <v>0</v>
      </c>
      <c r="T118" s="14">
        <v>38.4</v>
      </c>
      <c r="U118" s="73">
        <f t="shared" si="62"/>
        <v>234.75000000000003</v>
      </c>
      <c r="W118" s="48">
        <f t="shared" si="63"/>
        <v>0</v>
      </c>
      <c r="X118" s="48">
        <f t="shared" si="64"/>
        <v>0</v>
      </c>
      <c r="Y118" s="48">
        <f t="shared" si="65"/>
        <v>30.000000000000004</v>
      </c>
      <c r="Z118" s="48">
        <f t="shared" si="66"/>
        <v>45</v>
      </c>
      <c r="AA118" s="48">
        <f t="shared" si="67"/>
        <v>0</v>
      </c>
      <c r="AB118" s="48">
        <f t="shared" si="68"/>
        <v>30.000000000000004</v>
      </c>
      <c r="AC118" s="48">
        <f t="shared" si="69"/>
        <v>30.000000000000004</v>
      </c>
      <c r="AD118" s="48">
        <f t="shared" si="70"/>
        <v>30.000000000000004</v>
      </c>
      <c r="AE118" s="48">
        <f t="shared" si="71"/>
        <v>0</v>
      </c>
      <c r="AF118" s="48">
        <f t="shared" si="72"/>
        <v>0</v>
      </c>
      <c r="AG118" s="48">
        <f t="shared" si="73"/>
        <v>0</v>
      </c>
      <c r="AH118" s="48">
        <f t="shared" si="74"/>
        <v>30</v>
      </c>
      <c r="AI118" s="47">
        <f t="shared" si="75"/>
        <v>16.25</v>
      </c>
      <c r="AJ118" s="134">
        <f t="shared" si="76"/>
        <v>195</v>
      </c>
    </row>
    <row r="119" spans="1:43" ht="12" customHeight="1" x14ac:dyDescent="0.2">
      <c r="B119" s="1" t="str">
        <f>"ridge"&amp;"commercial"&amp;C119</f>
        <v>ridgecommercialCCTRIP</v>
      </c>
      <c r="C119" s="58" t="s">
        <v>199</v>
      </c>
      <c r="D119" s="58" t="s">
        <v>293</v>
      </c>
      <c r="E119" s="11">
        <v>22.8</v>
      </c>
      <c r="F119" s="11">
        <v>22.8</v>
      </c>
      <c r="G119" s="11">
        <v>24.49</v>
      </c>
      <c r="H119" s="55"/>
      <c r="I119" s="14">
        <v>0</v>
      </c>
      <c r="J119" s="14">
        <v>68.400000000000006</v>
      </c>
      <c r="K119" s="14">
        <v>22.8</v>
      </c>
      <c r="L119" s="14">
        <v>22.8</v>
      </c>
      <c r="M119" s="14">
        <v>45.6</v>
      </c>
      <c r="N119" s="14">
        <v>0</v>
      </c>
      <c r="O119" s="14">
        <v>22.8</v>
      </c>
      <c r="P119" s="14">
        <v>22.8</v>
      </c>
      <c r="Q119" s="14">
        <v>0</v>
      </c>
      <c r="R119" s="14">
        <v>48.98</v>
      </c>
      <c r="S119" s="14">
        <v>24.49</v>
      </c>
      <c r="T119" s="14">
        <v>24.49</v>
      </c>
      <c r="U119" s="73">
        <f>SUM(I119:T119)</f>
        <v>303.16000000000003</v>
      </c>
      <c r="W119" s="48">
        <f t="shared" si="63"/>
        <v>0</v>
      </c>
      <c r="X119" s="48">
        <f t="shared" si="64"/>
        <v>3</v>
      </c>
      <c r="Y119" s="48">
        <f t="shared" si="65"/>
        <v>1</v>
      </c>
      <c r="Z119" s="48">
        <f t="shared" si="66"/>
        <v>1</v>
      </c>
      <c r="AA119" s="48">
        <f t="shared" si="67"/>
        <v>2</v>
      </c>
      <c r="AB119" s="48">
        <f t="shared" si="68"/>
        <v>0</v>
      </c>
      <c r="AC119" s="48">
        <f t="shared" si="69"/>
        <v>1</v>
      </c>
      <c r="AD119" s="48">
        <f t="shared" si="70"/>
        <v>1</v>
      </c>
      <c r="AE119" s="48">
        <f t="shared" si="71"/>
        <v>0</v>
      </c>
      <c r="AF119" s="48">
        <f t="shared" si="72"/>
        <v>2</v>
      </c>
      <c r="AG119" s="48">
        <f t="shared" si="73"/>
        <v>1</v>
      </c>
      <c r="AH119" s="48">
        <f t="shared" si="74"/>
        <v>1</v>
      </c>
      <c r="AI119" s="47">
        <f>+IFERROR(AVERAGE(W119:AH119),0)</f>
        <v>1.0833333333333333</v>
      </c>
      <c r="AJ119" s="134">
        <f>SUM(W119:AH119)</f>
        <v>13</v>
      </c>
    </row>
    <row r="120" spans="1:43" ht="12" customHeight="1" x14ac:dyDescent="0.2">
      <c r="B120" s="1" t="str">
        <f t="shared" si="79"/>
        <v>ridgecommercialCRTRIP</v>
      </c>
      <c r="C120" s="58" t="s">
        <v>200</v>
      </c>
      <c r="D120" s="58" t="s">
        <v>106</v>
      </c>
      <c r="E120" s="11">
        <v>13.7</v>
      </c>
      <c r="F120" s="11">
        <v>13.7</v>
      </c>
      <c r="G120" s="11">
        <v>14.71</v>
      </c>
      <c r="H120" s="55"/>
      <c r="I120" s="14">
        <v>0</v>
      </c>
      <c r="J120" s="14">
        <v>0</v>
      </c>
      <c r="K120" s="14">
        <v>0</v>
      </c>
      <c r="L120" s="14">
        <v>0</v>
      </c>
      <c r="M120" s="14">
        <v>13.7</v>
      </c>
      <c r="N120" s="14">
        <v>13.7</v>
      </c>
      <c r="O120" s="14">
        <v>0</v>
      </c>
      <c r="P120" s="14">
        <v>13.7</v>
      </c>
      <c r="Q120" s="14">
        <v>0</v>
      </c>
      <c r="R120" s="14">
        <v>0</v>
      </c>
      <c r="S120" s="14">
        <v>0</v>
      </c>
      <c r="T120" s="14">
        <v>0</v>
      </c>
      <c r="U120" s="73">
        <f t="shared" si="62"/>
        <v>41.099999999999994</v>
      </c>
      <c r="W120" s="48">
        <f t="shared" si="63"/>
        <v>0</v>
      </c>
      <c r="X120" s="48">
        <f t="shared" si="64"/>
        <v>0</v>
      </c>
      <c r="Y120" s="48">
        <f t="shared" si="65"/>
        <v>0</v>
      </c>
      <c r="Z120" s="48">
        <f t="shared" si="66"/>
        <v>0</v>
      </c>
      <c r="AA120" s="48">
        <f t="shared" si="67"/>
        <v>1</v>
      </c>
      <c r="AB120" s="48">
        <f t="shared" si="68"/>
        <v>1</v>
      </c>
      <c r="AC120" s="48">
        <f t="shared" si="69"/>
        <v>0</v>
      </c>
      <c r="AD120" s="48">
        <f t="shared" si="70"/>
        <v>1</v>
      </c>
      <c r="AE120" s="48">
        <f t="shared" si="71"/>
        <v>0</v>
      </c>
      <c r="AF120" s="48">
        <f t="shared" si="72"/>
        <v>0</v>
      </c>
      <c r="AG120" s="48">
        <f t="shared" si="73"/>
        <v>0</v>
      </c>
      <c r="AH120" s="48">
        <f t="shared" si="74"/>
        <v>0</v>
      </c>
      <c r="AI120" s="47">
        <f t="shared" si="75"/>
        <v>0.25</v>
      </c>
      <c r="AJ120" s="134">
        <f t="shared" si="76"/>
        <v>3</v>
      </c>
    </row>
    <row r="121" spans="1:43" ht="12" customHeight="1" x14ac:dyDescent="0.2">
      <c r="B121" s="1" t="str">
        <f t="shared" si="79"/>
        <v>ridgecommercialRCRMV</v>
      </c>
      <c r="C121" s="58" t="s">
        <v>1021</v>
      </c>
      <c r="D121" s="58" t="s">
        <v>1022</v>
      </c>
      <c r="E121" s="11">
        <v>22.8</v>
      </c>
      <c r="F121" s="11">
        <v>22.8</v>
      </c>
      <c r="G121" s="11">
        <v>24.49</v>
      </c>
      <c r="H121" s="55"/>
      <c r="I121" s="14">
        <v>0</v>
      </c>
      <c r="J121" s="14">
        <v>0</v>
      </c>
      <c r="K121" s="14">
        <v>0</v>
      </c>
      <c r="L121" s="14">
        <v>91.2</v>
      </c>
      <c r="M121" s="14">
        <v>0</v>
      </c>
      <c r="N121" s="14">
        <v>0</v>
      </c>
      <c r="O121" s="14">
        <v>0</v>
      </c>
      <c r="P121" s="14">
        <v>0</v>
      </c>
      <c r="Q121" s="14">
        <v>0</v>
      </c>
      <c r="R121" s="14">
        <v>0</v>
      </c>
      <c r="S121" s="14">
        <v>0</v>
      </c>
      <c r="T121" s="14">
        <v>0</v>
      </c>
      <c r="U121" s="73">
        <f t="shared" si="62"/>
        <v>91.2</v>
      </c>
      <c r="W121" s="48">
        <f t="shared" si="63"/>
        <v>0</v>
      </c>
      <c r="X121" s="48">
        <f t="shared" si="64"/>
        <v>0</v>
      </c>
      <c r="Y121" s="48">
        <f t="shared" si="65"/>
        <v>0</v>
      </c>
      <c r="Z121" s="48">
        <f t="shared" si="66"/>
        <v>4</v>
      </c>
      <c r="AA121" s="48">
        <f t="shared" si="67"/>
        <v>0</v>
      </c>
      <c r="AB121" s="48">
        <f t="shared" si="68"/>
        <v>0</v>
      </c>
      <c r="AC121" s="48">
        <f t="shared" si="69"/>
        <v>0</v>
      </c>
      <c r="AD121" s="48">
        <f t="shared" si="70"/>
        <v>0</v>
      </c>
      <c r="AE121" s="48">
        <f t="shared" si="71"/>
        <v>0</v>
      </c>
      <c r="AF121" s="48">
        <f t="shared" si="72"/>
        <v>0</v>
      </c>
      <c r="AG121" s="48">
        <f t="shared" si="73"/>
        <v>0</v>
      </c>
      <c r="AH121" s="48">
        <f t="shared" si="74"/>
        <v>0</v>
      </c>
      <c r="AI121" s="47">
        <f t="shared" si="75"/>
        <v>0.33333333333333331</v>
      </c>
      <c r="AJ121" s="134">
        <f t="shared" si="76"/>
        <v>4</v>
      </c>
    </row>
    <row r="122" spans="1:43" ht="12" customHeight="1" x14ac:dyDescent="0.2">
      <c r="D122" s="60"/>
      <c r="E122" s="11"/>
      <c r="F122" s="11"/>
      <c r="G122" s="11">
        <v>0</v>
      </c>
      <c r="H122" s="55"/>
      <c r="I122" s="46"/>
      <c r="J122" s="49"/>
      <c r="K122" s="49"/>
      <c r="U122" s="73"/>
    </row>
    <row r="123" spans="1:43" ht="12" customHeight="1" x14ac:dyDescent="0.2">
      <c r="D123" s="52" t="s">
        <v>11</v>
      </c>
      <c r="E123" s="11"/>
      <c r="F123" s="11"/>
      <c r="G123" s="11"/>
      <c r="H123" s="55"/>
      <c r="I123" s="74">
        <f t="shared" ref="I123:U123" si="83">SUM(I83:I122)</f>
        <v>39451.910000000011</v>
      </c>
      <c r="J123" s="74">
        <f t="shared" si="83"/>
        <v>40929.83</v>
      </c>
      <c r="K123" s="74">
        <f t="shared" si="83"/>
        <v>41316.959999999985</v>
      </c>
      <c r="L123" s="74">
        <f t="shared" si="83"/>
        <v>41769.68</v>
      </c>
      <c r="M123" s="74">
        <f t="shared" si="83"/>
        <v>41852.69999999999</v>
      </c>
      <c r="N123" s="74">
        <f t="shared" si="83"/>
        <v>42292.169999999991</v>
      </c>
      <c r="O123" s="74">
        <f t="shared" si="83"/>
        <v>42758.06</v>
      </c>
      <c r="P123" s="74">
        <f t="shared" si="83"/>
        <v>42082.829999999994</v>
      </c>
      <c r="Q123" s="74">
        <f t="shared" si="83"/>
        <v>42257</v>
      </c>
      <c r="R123" s="74">
        <f t="shared" si="83"/>
        <v>46310.130000000005</v>
      </c>
      <c r="S123" s="74">
        <f t="shared" si="83"/>
        <v>46511.530000000013</v>
      </c>
      <c r="T123" s="74">
        <f t="shared" si="83"/>
        <v>47680.880000000005</v>
      </c>
      <c r="U123" s="74">
        <f t="shared" si="83"/>
        <v>515213.67999999988</v>
      </c>
      <c r="W123" s="185">
        <f t="shared" ref="W123:AI123" si="84">SUM(W83:W101)</f>
        <v>130</v>
      </c>
      <c r="X123" s="185">
        <f t="shared" si="84"/>
        <v>132.99998395681891</v>
      </c>
      <c r="Y123" s="185">
        <f t="shared" si="84"/>
        <v>132.5</v>
      </c>
      <c r="Z123" s="185">
        <f t="shared" si="84"/>
        <v>132.99993844264768</v>
      </c>
      <c r="AA123" s="185">
        <f t="shared" si="84"/>
        <v>134.74996521593783</v>
      </c>
      <c r="AB123" s="185">
        <f t="shared" si="84"/>
        <v>132.99940293896654</v>
      </c>
      <c r="AC123" s="185">
        <f t="shared" si="84"/>
        <v>136.49990077522799</v>
      </c>
      <c r="AD123" s="185">
        <f t="shared" si="84"/>
        <v>133.25019127773527</v>
      </c>
      <c r="AE123" s="185">
        <f t="shared" si="84"/>
        <v>131.00001605909748</v>
      </c>
      <c r="AF123" s="185">
        <f t="shared" si="84"/>
        <v>132.75</v>
      </c>
      <c r="AG123" s="185">
        <f t="shared" si="84"/>
        <v>132.87501495260025</v>
      </c>
      <c r="AH123" s="185">
        <f t="shared" si="84"/>
        <v>134</v>
      </c>
      <c r="AI123" s="185">
        <f t="shared" si="84"/>
        <v>133.05203446825266</v>
      </c>
      <c r="AJ123" s="185">
        <f>SUM(AJ83:AJ101,AJ102,AJ108:AJ109)</f>
        <v>1768.5555207189116</v>
      </c>
      <c r="AM123" s="186">
        <f>SUM(AM83:AM101)</f>
        <v>27.749953856634043</v>
      </c>
      <c r="AO123" s="186">
        <f>SUM(AO83:AO101)</f>
        <v>100.09374772393238</v>
      </c>
      <c r="AQ123" s="186">
        <f>SUM(AQ83:AQ101)</f>
        <v>0</v>
      </c>
    </row>
    <row r="124" spans="1:43" ht="12" customHeight="1" x14ac:dyDescent="0.2">
      <c r="D124" s="52"/>
      <c r="E124" s="11"/>
      <c r="F124" s="11"/>
      <c r="G124" s="11"/>
      <c r="H124" s="55"/>
      <c r="I124" s="79"/>
      <c r="J124" s="79"/>
      <c r="K124" s="79"/>
      <c r="L124" s="79"/>
      <c r="M124" s="79"/>
      <c r="N124" s="79"/>
      <c r="O124" s="79"/>
      <c r="P124" s="79"/>
      <c r="Q124" s="79"/>
      <c r="R124" s="79"/>
      <c r="S124" s="79"/>
      <c r="T124" s="79"/>
      <c r="U124" s="79"/>
    </row>
    <row r="125" spans="1:43" ht="12" customHeight="1" x14ac:dyDescent="0.2">
      <c r="C125" s="42" t="s">
        <v>12</v>
      </c>
      <c r="D125" s="42" t="s">
        <v>12</v>
      </c>
      <c r="E125" s="11"/>
      <c r="F125" s="11"/>
      <c r="G125" s="11"/>
      <c r="H125" s="44"/>
      <c r="I125" s="44"/>
      <c r="J125" s="44"/>
      <c r="AI125" s="45"/>
    </row>
    <row r="126" spans="1:43" s="253" customFormat="1" ht="12" customHeight="1" x14ac:dyDescent="0.2">
      <c r="A126" s="253" t="str">
        <f>"all"&amp;"recycling"&amp;C126</f>
        <v>allrecyclingCRY1Y1X</v>
      </c>
      <c r="B126" s="241" t="str">
        <f t="shared" ref="B126:B165" si="85">"ridge"&amp;"recycling"&amp;C126</f>
        <v>ridgerecyclingCRY1Y1X</v>
      </c>
      <c r="C126" s="232" t="s">
        <v>457</v>
      </c>
      <c r="D126" s="232" t="s">
        <v>540</v>
      </c>
      <c r="E126" s="238">
        <v>104.37</v>
      </c>
      <c r="F126" s="238">
        <v>104.37</v>
      </c>
      <c r="G126" s="238">
        <v>104.37</v>
      </c>
      <c r="H126" s="261"/>
      <c r="I126" s="243">
        <v>208.74</v>
      </c>
      <c r="J126" s="243">
        <v>208.74</v>
      </c>
      <c r="K126" s="243">
        <v>208.74</v>
      </c>
      <c r="L126" s="243">
        <v>208.74</v>
      </c>
      <c r="M126" s="243">
        <v>208.74</v>
      </c>
      <c r="N126" s="243">
        <v>208.74</v>
      </c>
      <c r="O126" s="243">
        <v>208.74</v>
      </c>
      <c r="P126" s="243">
        <v>208.74</v>
      </c>
      <c r="Q126" s="243">
        <v>208.74</v>
      </c>
      <c r="R126" s="243">
        <v>224.18</v>
      </c>
      <c r="S126" s="243">
        <v>224.18</v>
      </c>
      <c r="T126" s="243">
        <v>224.18</v>
      </c>
      <c r="U126" s="263">
        <f t="shared" ref="U126:U206" si="86">SUM(I126:T126)</f>
        <v>2551.1999999999998</v>
      </c>
      <c r="W126" s="264">
        <f t="shared" ref="W126:W174" si="87">IFERROR(I126/$E126,0)</f>
        <v>2</v>
      </c>
      <c r="X126" s="264">
        <f t="shared" ref="X126:X174" si="88">IFERROR(J126/$E126,0)</f>
        <v>2</v>
      </c>
      <c r="Y126" s="264">
        <f t="shared" ref="Y126:Y174" si="89">IFERROR(K126/$E126,0)</f>
        <v>2</v>
      </c>
      <c r="Z126" s="264">
        <f t="shared" ref="Z126:Z174" si="90">IFERROR(L126/$F126,0)</f>
        <v>2</v>
      </c>
      <c r="AA126" s="264">
        <f t="shared" ref="AA126:AA174" si="91">IFERROR(M126/$F126,0)</f>
        <v>2</v>
      </c>
      <c r="AB126" s="264">
        <f t="shared" ref="AB126:AB174" si="92">IFERROR(N126/$F126,0)</f>
        <v>2</v>
      </c>
      <c r="AC126" s="264">
        <f t="shared" ref="AC126:AC174" si="93">IFERROR(O126/$F126,0)</f>
        <v>2</v>
      </c>
      <c r="AD126" s="264">
        <f t="shared" ref="AD126:AD174" si="94">IFERROR(P126/$F126,0)</f>
        <v>2</v>
      </c>
      <c r="AE126" s="264">
        <f t="shared" ref="AE126:AE174" si="95">IFERROR(Q126/$F126,0)</f>
        <v>2</v>
      </c>
      <c r="AF126" s="264">
        <f t="shared" ref="AF126:AF174" si="96">IFERROR(R126/$G126,0)</f>
        <v>2.1479352304302002</v>
      </c>
      <c r="AG126" s="264">
        <f t="shared" ref="AG126:AG174" si="97">IFERROR(S126/$G126,0)</f>
        <v>2.1479352304302002</v>
      </c>
      <c r="AH126" s="264">
        <f t="shared" ref="AH126:AH174" si="98">IFERROR(T126/$G126,0)</f>
        <v>2.1479352304302002</v>
      </c>
      <c r="AI126" s="265">
        <f t="shared" ref="AI126:AI178" si="99">+IFERROR(AVERAGE(W126:AH126),0)</f>
        <v>2.0369838076075499</v>
      </c>
      <c r="AJ126" s="266">
        <f t="shared" ref="AJ126:AJ178" si="100">SUM(W126:AH126)</f>
        <v>24.443805691290599</v>
      </c>
      <c r="AL126" s="241">
        <v>0</v>
      </c>
      <c r="AM126" s="240">
        <f t="shared" ref="AM126:AM154" si="101">+$AI126*AL126</f>
        <v>0</v>
      </c>
      <c r="AN126" s="241">
        <v>1</v>
      </c>
      <c r="AO126" s="240">
        <f t="shared" ref="AO126:AO154" si="102">+$AI126*AN126</f>
        <v>2.0369838076075499</v>
      </c>
      <c r="AP126" s="241">
        <v>0</v>
      </c>
      <c r="AQ126" s="240">
        <f t="shared" ref="AQ126:AQ154" si="103">+$AI126*AP126</f>
        <v>0</v>
      </c>
    </row>
    <row r="127" spans="1:43" s="253" customFormat="1" ht="12" customHeight="1" x14ac:dyDescent="0.2">
      <c r="A127" s="253" t="str">
        <f>"all"&amp;"recycling"&amp;C127</f>
        <v>allrecyclingCRY1.5Y1X</v>
      </c>
      <c r="B127" s="241" t="str">
        <f t="shared" si="85"/>
        <v>ridgerecyclingCRY1.5Y1X</v>
      </c>
      <c r="C127" s="232" t="s">
        <v>456</v>
      </c>
      <c r="D127" s="232" t="s">
        <v>538</v>
      </c>
      <c r="E127" s="238">
        <v>127.85</v>
      </c>
      <c r="F127" s="238">
        <v>127.85</v>
      </c>
      <c r="G127" s="238">
        <v>127.85</v>
      </c>
      <c r="H127" s="261"/>
      <c r="I127" s="243">
        <v>127.85</v>
      </c>
      <c r="J127" s="243">
        <v>127.85</v>
      </c>
      <c r="K127" s="243">
        <v>127.85</v>
      </c>
      <c r="L127" s="243">
        <v>127.85</v>
      </c>
      <c r="M127" s="243">
        <v>127.85</v>
      </c>
      <c r="N127" s="243">
        <v>127.85</v>
      </c>
      <c r="O127" s="243">
        <v>127.85</v>
      </c>
      <c r="P127" s="243">
        <v>127.85</v>
      </c>
      <c r="Q127" s="243">
        <v>127.85</v>
      </c>
      <c r="R127" s="243">
        <v>137.31</v>
      </c>
      <c r="S127" s="243">
        <v>137.31</v>
      </c>
      <c r="T127" s="243">
        <v>137.31</v>
      </c>
      <c r="U127" s="263">
        <f>SUM(I127:T127)</f>
        <v>1562.58</v>
      </c>
      <c r="W127" s="264">
        <f t="shared" si="87"/>
        <v>1</v>
      </c>
      <c r="X127" s="264">
        <f t="shared" si="88"/>
        <v>1</v>
      </c>
      <c r="Y127" s="264">
        <f t="shared" si="89"/>
        <v>1</v>
      </c>
      <c r="Z127" s="264">
        <f t="shared" si="90"/>
        <v>1</v>
      </c>
      <c r="AA127" s="264">
        <f t="shared" si="91"/>
        <v>1</v>
      </c>
      <c r="AB127" s="264">
        <f t="shared" si="92"/>
        <v>1</v>
      </c>
      <c r="AC127" s="264">
        <f t="shared" si="93"/>
        <v>1</v>
      </c>
      <c r="AD127" s="264">
        <f t="shared" si="94"/>
        <v>1</v>
      </c>
      <c r="AE127" s="264">
        <f t="shared" si="95"/>
        <v>1</v>
      </c>
      <c r="AF127" s="264">
        <f t="shared" si="96"/>
        <v>1.0739929605005867</v>
      </c>
      <c r="AG127" s="264">
        <f t="shared" si="97"/>
        <v>1.0739929605005867</v>
      </c>
      <c r="AH127" s="264">
        <f t="shared" si="98"/>
        <v>1.0739929605005867</v>
      </c>
      <c r="AI127" s="265">
        <f t="shared" si="99"/>
        <v>1.0184982401251466</v>
      </c>
      <c r="AJ127" s="266">
        <f t="shared" si="100"/>
        <v>12.221978881501759</v>
      </c>
      <c r="AL127" s="241">
        <v>0</v>
      </c>
      <c r="AM127" s="240">
        <f t="shared" si="101"/>
        <v>0</v>
      </c>
      <c r="AN127" s="241">
        <v>1</v>
      </c>
      <c r="AO127" s="240">
        <f t="shared" si="102"/>
        <v>1.0184982401251466</v>
      </c>
      <c r="AP127" s="241">
        <v>0</v>
      </c>
      <c r="AQ127" s="240">
        <f t="shared" si="103"/>
        <v>0</v>
      </c>
    </row>
    <row r="128" spans="1:43" s="253" customFormat="1" ht="12" customHeight="1" x14ac:dyDescent="0.2">
      <c r="A128" s="253" t="str">
        <f>"all"&amp;"recycling"&amp;C128</f>
        <v>allrecyclingCRY1Y2X</v>
      </c>
      <c r="B128" s="241" t="str">
        <f t="shared" si="85"/>
        <v>ridgerecyclingCRY1Y2X</v>
      </c>
      <c r="C128" s="232" t="s">
        <v>1023</v>
      </c>
      <c r="D128" s="232" t="s">
        <v>1024</v>
      </c>
      <c r="E128" s="238">
        <v>222.55</v>
      </c>
      <c r="F128" s="238">
        <v>222.55</v>
      </c>
      <c r="G128" s="238">
        <v>222.55</v>
      </c>
      <c r="H128" s="261"/>
      <c r="I128" s="243">
        <v>222.55</v>
      </c>
      <c r="J128" s="243">
        <v>222.55</v>
      </c>
      <c r="K128" s="243">
        <v>222.55</v>
      </c>
      <c r="L128" s="243">
        <v>222.55</v>
      </c>
      <c r="M128" s="243">
        <v>222.55</v>
      </c>
      <c r="N128" s="243">
        <v>222.55</v>
      </c>
      <c r="O128" s="243">
        <v>166.91</v>
      </c>
      <c r="P128" s="243">
        <v>0</v>
      </c>
      <c r="Q128" s="243">
        <v>0</v>
      </c>
      <c r="R128" s="243">
        <v>0</v>
      </c>
      <c r="S128" s="243">
        <v>0</v>
      </c>
      <c r="T128" s="243">
        <v>0</v>
      </c>
      <c r="U128" s="263">
        <f>SUM(I128:T128)</f>
        <v>1502.21</v>
      </c>
      <c r="W128" s="264">
        <f t="shared" si="87"/>
        <v>1</v>
      </c>
      <c r="X128" s="264">
        <f t="shared" si="88"/>
        <v>1</v>
      </c>
      <c r="Y128" s="264">
        <f t="shared" si="89"/>
        <v>1</v>
      </c>
      <c r="Z128" s="264">
        <f t="shared" si="90"/>
        <v>1</v>
      </c>
      <c r="AA128" s="264">
        <f t="shared" si="91"/>
        <v>1</v>
      </c>
      <c r="AB128" s="264">
        <f t="shared" si="92"/>
        <v>1</v>
      </c>
      <c r="AC128" s="264">
        <f t="shared" si="93"/>
        <v>0.74998876656931024</v>
      </c>
      <c r="AD128" s="264">
        <f t="shared" si="94"/>
        <v>0</v>
      </c>
      <c r="AE128" s="264">
        <f t="shared" si="95"/>
        <v>0</v>
      </c>
      <c r="AF128" s="264">
        <f t="shared" si="96"/>
        <v>0</v>
      </c>
      <c r="AG128" s="264">
        <f t="shared" si="97"/>
        <v>0</v>
      </c>
      <c r="AH128" s="264">
        <f t="shared" si="98"/>
        <v>0</v>
      </c>
      <c r="AI128" s="265">
        <f t="shared" si="99"/>
        <v>0.56249906388077586</v>
      </c>
      <c r="AJ128" s="266">
        <f t="shared" si="100"/>
        <v>6.7499887665693104</v>
      </c>
      <c r="AL128" s="241">
        <v>0</v>
      </c>
      <c r="AM128" s="240">
        <f t="shared" si="101"/>
        <v>0</v>
      </c>
      <c r="AN128" s="241">
        <v>1</v>
      </c>
      <c r="AO128" s="240">
        <f t="shared" si="102"/>
        <v>0.56249906388077586</v>
      </c>
      <c r="AP128" s="241">
        <v>0</v>
      </c>
      <c r="AQ128" s="240">
        <f t="shared" si="103"/>
        <v>0</v>
      </c>
    </row>
    <row r="129" spans="1:43" s="253" customFormat="1" ht="12" customHeight="1" x14ac:dyDescent="0.2">
      <c r="A129" s="253" t="str">
        <f>"all"&amp;"recycling"&amp;C129</f>
        <v>allrecyclingCRY1YGLS1X</v>
      </c>
      <c r="B129" s="241" t="str">
        <f t="shared" si="85"/>
        <v>ridgerecyclingCRY1YGLS1X</v>
      </c>
      <c r="C129" s="232" t="s">
        <v>1121</v>
      </c>
      <c r="D129" s="232" t="s">
        <v>1122</v>
      </c>
      <c r="E129" s="238">
        <v>74.510000000000005</v>
      </c>
      <c r="F129" s="238">
        <v>75.900000000000006</v>
      </c>
      <c r="G129" s="238">
        <v>75.900000000000006</v>
      </c>
      <c r="H129" s="261"/>
      <c r="I129" s="243">
        <v>0</v>
      </c>
      <c r="J129" s="243">
        <v>0</v>
      </c>
      <c r="K129" s="243">
        <v>0</v>
      </c>
      <c r="L129" s="243">
        <v>0</v>
      </c>
      <c r="M129" s="243">
        <v>0</v>
      </c>
      <c r="N129" s="243">
        <v>0</v>
      </c>
      <c r="O129" s="243">
        <v>0</v>
      </c>
      <c r="P129" s="243">
        <v>0</v>
      </c>
      <c r="Q129" s="243">
        <v>0</v>
      </c>
      <c r="R129" s="243">
        <v>20.010000000000002</v>
      </c>
      <c r="S129" s="243">
        <v>80.02</v>
      </c>
      <c r="T129" s="243">
        <v>80.02</v>
      </c>
      <c r="U129" s="263">
        <f>SUM(I129:T129)</f>
        <v>180.05</v>
      </c>
      <c r="W129" s="264">
        <f t="shared" si="87"/>
        <v>0</v>
      </c>
      <c r="X129" s="264">
        <f t="shared" si="88"/>
        <v>0</v>
      </c>
      <c r="Y129" s="264">
        <f t="shared" si="89"/>
        <v>0</v>
      </c>
      <c r="Z129" s="264">
        <f t="shared" si="90"/>
        <v>0</v>
      </c>
      <c r="AA129" s="264">
        <f t="shared" si="91"/>
        <v>0</v>
      </c>
      <c r="AB129" s="264">
        <f t="shared" si="92"/>
        <v>0</v>
      </c>
      <c r="AC129" s="264">
        <f t="shared" si="93"/>
        <v>0</v>
      </c>
      <c r="AD129" s="264">
        <f t="shared" si="94"/>
        <v>0</v>
      </c>
      <c r="AE129" s="264">
        <f t="shared" si="95"/>
        <v>0</v>
      </c>
      <c r="AF129" s="264">
        <f t="shared" si="96"/>
        <v>0.26363636363636361</v>
      </c>
      <c r="AG129" s="264">
        <f t="shared" si="97"/>
        <v>1.0542819499341236</v>
      </c>
      <c r="AH129" s="264">
        <f t="shared" si="98"/>
        <v>1.0542819499341236</v>
      </c>
      <c r="AI129" s="265">
        <f>+IFERROR(AVERAGE(W129:AH129),0)</f>
        <v>0.19768335529205092</v>
      </c>
      <c r="AJ129" s="266">
        <f>SUM(W129:AH129)</f>
        <v>2.3722002635046109</v>
      </c>
      <c r="AL129" s="241">
        <v>0</v>
      </c>
      <c r="AM129" s="240">
        <f t="shared" si="101"/>
        <v>0</v>
      </c>
      <c r="AN129" s="241">
        <v>1</v>
      </c>
      <c r="AO129" s="240">
        <f t="shared" si="102"/>
        <v>0.19768335529205092</v>
      </c>
      <c r="AP129" s="241">
        <v>0</v>
      </c>
      <c r="AQ129" s="240">
        <f t="shared" si="103"/>
        <v>0</v>
      </c>
    </row>
    <row r="130" spans="1:43" s="253" customFormat="1" ht="12" customHeight="1" x14ac:dyDescent="0.2">
      <c r="A130" s="253" t="str">
        <f t="shared" ref="A130:A178" si="104">"all"&amp;"recycling"&amp;C130</f>
        <v>allrecyclingCRY1YEOW</v>
      </c>
      <c r="B130" s="241" t="str">
        <f t="shared" si="85"/>
        <v>ridgerecyclingCRY1YEOW</v>
      </c>
      <c r="C130" s="232" t="s">
        <v>458</v>
      </c>
      <c r="D130" s="232" t="s">
        <v>541</v>
      </c>
      <c r="E130" s="238">
        <v>75.900000000000006</v>
      </c>
      <c r="F130" s="238">
        <v>75.900000000000006</v>
      </c>
      <c r="G130" s="238">
        <v>75.900000000000006</v>
      </c>
      <c r="H130" s="261"/>
      <c r="I130" s="243">
        <v>0</v>
      </c>
      <c r="J130" s="243">
        <v>0</v>
      </c>
      <c r="K130" s="243">
        <v>37.950000000000003</v>
      </c>
      <c r="L130" s="243">
        <v>75.900000000000006</v>
      </c>
      <c r="M130" s="243">
        <v>75.900000000000006</v>
      </c>
      <c r="N130" s="243">
        <v>75.900000000000006</v>
      </c>
      <c r="O130" s="243">
        <v>75.900000000000006</v>
      </c>
      <c r="P130" s="243">
        <v>75.900000000000006</v>
      </c>
      <c r="Q130" s="243">
        <v>75.900000000000006</v>
      </c>
      <c r="R130" s="243">
        <v>81.52</v>
      </c>
      <c r="S130" s="243">
        <v>81.52</v>
      </c>
      <c r="T130" s="243">
        <v>81.52</v>
      </c>
      <c r="U130" s="263">
        <f t="shared" si="86"/>
        <v>737.90999999999985</v>
      </c>
      <c r="W130" s="264">
        <f t="shared" si="87"/>
        <v>0</v>
      </c>
      <c r="X130" s="264">
        <f t="shared" si="88"/>
        <v>0</v>
      </c>
      <c r="Y130" s="264">
        <f t="shared" si="89"/>
        <v>0.5</v>
      </c>
      <c r="Z130" s="264">
        <f t="shared" si="90"/>
        <v>1</v>
      </c>
      <c r="AA130" s="264">
        <f t="shared" si="91"/>
        <v>1</v>
      </c>
      <c r="AB130" s="264">
        <f t="shared" si="92"/>
        <v>1</v>
      </c>
      <c r="AC130" s="264">
        <f t="shared" si="93"/>
        <v>1</v>
      </c>
      <c r="AD130" s="264">
        <f t="shared" si="94"/>
        <v>1</v>
      </c>
      <c r="AE130" s="264">
        <f t="shared" si="95"/>
        <v>1</v>
      </c>
      <c r="AF130" s="264">
        <f t="shared" si="96"/>
        <v>1.0740447957839261</v>
      </c>
      <c r="AG130" s="264">
        <f t="shared" si="97"/>
        <v>1.0740447957839261</v>
      </c>
      <c r="AH130" s="264">
        <f t="shared" si="98"/>
        <v>1.0740447957839261</v>
      </c>
      <c r="AI130" s="265">
        <f t="shared" si="99"/>
        <v>0.81017786561264826</v>
      </c>
      <c r="AJ130" s="266">
        <f t="shared" si="100"/>
        <v>9.7221343873517796</v>
      </c>
      <c r="AL130" s="241">
        <v>0</v>
      </c>
      <c r="AM130" s="240">
        <f t="shared" si="101"/>
        <v>0</v>
      </c>
      <c r="AN130" s="241">
        <v>1</v>
      </c>
      <c r="AO130" s="240">
        <f t="shared" si="102"/>
        <v>0.81017786561264826</v>
      </c>
      <c r="AP130" s="241">
        <v>0</v>
      </c>
      <c r="AQ130" s="240">
        <f t="shared" si="103"/>
        <v>0</v>
      </c>
    </row>
    <row r="131" spans="1:43" s="253" customFormat="1" ht="12" customHeight="1" x14ac:dyDescent="0.2">
      <c r="A131" s="253" t="str">
        <f t="shared" si="104"/>
        <v>allrecyclingCRY2Y1X</v>
      </c>
      <c r="B131" s="241" t="str">
        <f t="shared" si="85"/>
        <v>ridgerecyclingCRY2Y1X</v>
      </c>
      <c r="C131" s="232" t="s">
        <v>461</v>
      </c>
      <c r="D131" s="232" t="s">
        <v>544</v>
      </c>
      <c r="E131" s="238">
        <v>134.91999999999999</v>
      </c>
      <c r="F131" s="238">
        <v>134.91999999999999</v>
      </c>
      <c r="G131" s="238">
        <v>134.91999999999999</v>
      </c>
      <c r="H131" s="261"/>
      <c r="I131" s="243">
        <v>1201.18</v>
      </c>
      <c r="J131" s="243">
        <v>1201.18</v>
      </c>
      <c r="K131" s="243">
        <v>1201.18</v>
      </c>
      <c r="L131" s="243">
        <v>1302.3699999999999</v>
      </c>
      <c r="M131" s="243">
        <v>1336.1</v>
      </c>
      <c r="N131" s="243">
        <v>1336.1</v>
      </c>
      <c r="O131" s="243">
        <v>1336.1</v>
      </c>
      <c r="P131" s="243">
        <v>1336.1</v>
      </c>
      <c r="Q131" s="243">
        <v>1336.1</v>
      </c>
      <c r="R131" s="243">
        <v>1405.96</v>
      </c>
      <c r="S131" s="243">
        <v>1405.96</v>
      </c>
      <c r="T131" s="243">
        <v>1405.96</v>
      </c>
      <c r="U131" s="263">
        <f t="shared" si="86"/>
        <v>15804.29</v>
      </c>
      <c r="W131" s="264">
        <f t="shared" si="87"/>
        <v>8.9029054254372983</v>
      </c>
      <c r="X131" s="264">
        <f t="shared" si="88"/>
        <v>8.9029054254372983</v>
      </c>
      <c r="Y131" s="264">
        <f t="shared" si="89"/>
        <v>8.9029054254372983</v>
      </c>
      <c r="Z131" s="264">
        <f t="shared" si="90"/>
        <v>9.6529054254372966</v>
      </c>
      <c r="AA131" s="264">
        <f t="shared" si="91"/>
        <v>9.9029054254372966</v>
      </c>
      <c r="AB131" s="264">
        <f t="shared" si="92"/>
        <v>9.9029054254372966</v>
      </c>
      <c r="AC131" s="264">
        <f t="shared" si="93"/>
        <v>9.9029054254372966</v>
      </c>
      <c r="AD131" s="264">
        <f t="shared" si="94"/>
        <v>9.9029054254372966</v>
      </c>
      <c r="AE131" s="264">
        <f t="shared" si="95"/>
        <v>9.9029054254372966</v>
      </c>
      <c r="AF131" s="264">
        <f t="shared" si="96"/>
        <v>10.420693744441152</v>
      </c>
      <c r="AG131" s="264">
        <f t="shared" si="97"/>
        <v>10.420693744441152</v>
      </c>
      <c r="AH131" s="264">
        <f t="shared" si="98"/>
        <v>10.420693744441152</v>
      </c>
      <c r="AI131" s="265">
        <f t="shared" si="99"/>
        <v>9.7615191718549266</v>
      </c>
      <c r="AJ131" s="266">
        <f t="shared" si="100"/>
        <v>117.13823006225913</v>
      </c>
      <c r="AL131" s="241">
        <v>0</v>
      </c>
      <c r="AM131" s="240">
        <f t="shared" si="101"/>
        <v>0</v>
      </c>
      <c r="AN131" s="241">
        <v>1</v>
      </c>
      <c r="AO131" s="240">
        <f t="shared" si="102"/>
        <v>9.7615191718549266</v>
      </c>
      <c r="AP131" s="241">
        <v>0</v>
      </c>
      <c r="AQ131" s="240">
        <f t="shared" si="103"/>
        <v>0</v>
      </c>
    </row>
    <row r="132" spans="1:43" s="253" customFormat="1" ht="12" customHeight="1" x14ac:dyDescent="0.2">
      <c r="A132" s="253" t="str">
        <f t="shared" si="104"/>
        <v>allrecyclingCRY3Y1X</v>
      </c>
      <c r="B132" s="241" t="str">
        <f t="shared" si="85"/>
        <v>ridgerecyclingCRY3Y1X</v>
      </c>
      <c r="C132" s="232" t="s">
        <v>465</v>
      </c>
      <c r="D132" s="232" t="s">
        <v>548</v>
      </c>
      <c r="E132" s="238">
        <v>146.81</v>
      </c>
      <c r="F132" s="238">
        <v>146.81</v>
      </c>
      <c r="G132" s="238">
        <v>146.81</v>
      </c>
      <c r="H132" s="261"/>
      <c r="I132" s="243">
        <v>1234.7</v>
      </c>
      <c r="J132" s="243">
        <v>1124.5899999999999</v>
      </c>
      <c r="K132" s="243">
        <v>1087.8900000000001</v>
      </c>
      <c r="L132" s="243">
        <v>1124.5899999999999</v>
      </c>
      <c r="M132" s="243">
        <v>1234.7</v>
      </c>
      <c r="N132" s="243">
        <v>1234.7</v>
      </c>
      <c r="O132" s="243">
        <v>1234.7</v>
      </c>
      <c r="P132" s="243">
        <v>1381.51</v>
      </c>
      <c r="Q132" s="243">
        <v>1381.51</v>
      </c>
      <c r="R132" s="243">
        <v>1457.53</v>
      </c>
      <c r="S132" s="243">
        <v>1457.53</v>
      </c>
      <c r="T132" s="243">
        <v>1457.53</v>
      </c>
      <c r="U132" s="263">
        <f t="shared" si="86"/>
        <v>15411.480000000003</v>
      </c>
      <c r="W132" s="264">
        <f t="shared" si="87"/>
        <v>8.4101900415503028</v>
      </c>
      <c r="X132" s="264">
        <f t="shared" si="88"/>
        <v>7.6601730127375509</v>
      </c>
      <c r="Y132" s="264">
        <f t="shared" si="89"/>
        <v>7.4101900415503037</v>
      </c>
      <c r="Z132" s="264">
        <f t="shared" si="90"/>
        <v>7.6601730127375509</v>
      </c>
      <c r="AA132" s="264">
        <f t="shared" si="91"/>
        <v>8.4101900415503028</v>
      </c>
      <c r="AB132" s="264">
        <f t="shared" si="92"/>
        <v>8.4101900415503028</v>
      </c>
      <c r="AC132" s="264">
        <f t="shared" si="93"/>
        <v>8.4101900415503028</v>
      </c>
      <c r="AD132" s="264">
        <f t="shared" si="94"/>
        <v>9.4101900415503028</v>
      </c>
      <c r="AE132" s="264">
        <f t="shared" si="95"/>
        <v>9.4101900415503028</v>
      </c>
      <c r="AF132" s="264">
        <f t="shared" si="96"/>
        <v>9.9280021796880327</v>
      </c>
      <c r="AG132" s="264">
        <f t="shared" si="97"/>
        <v>9.9280021796880327</v>
      </c>
      <c r="AH132" s="264">
        <f t="shared" si="98"/>
        <v>9.9280021796880327</v>
      </c>
      <c r="AI132" s="265">
        <f t="shared" si="99"/>
        <v>8.7479735712826123</v>
      </c>
      <c r="AJ132" s="266">
        <f t="shared" si="100"/>
        <v>104.97568285539134</v>
      </c>
      <c r="AL132" s="241">
        <v>0</v>
      </c>
      <c r="AM132" s="240">
        <f t="shared" si="101"/>
        <v>0</v>
      </c>
      <c r="AN132" s="241">
        <v>1</v>
      </c>
      <c r="AO132" s="240">
        <f t="shared" si="102"/>
        <v>8.7479735712826123</v>
      </c>
      <c r="AP132" s="241">
        <v>0</v>
      </c>
      <c r="AQ132" s="240">
        <f t="shared" si="103"/>
        <v>0</v>
      </c>
    </row>
    <row r="133" spans="1:43" s="253" customFormat="1" ht="12" customHeight="1" x14ac:dyDescent="0.2">
      <c r="A133" s="253" t="str">
        <f>"all"&amp;"recycling"&amp;C133</f>
        <v>allrecyclingCRY4Y1X</v>
      </c>
      <c r="B133" s="241" t="str">
        <f t="shared" si="85"/>
        <v>ridgerecyclingCRY4Y1X</v>
      </c>
      <c r="C133" s="232" t="s">
        <v>470</v>
      </c>
      <c r="D133" s="232" t="s">
        <v>553</v>
      </c>
      <c r="E133" s="238">
        <v>161.05000000000001</v>
      </c>
      <c r="F133" s="238">
        <v>161.05000000000001</v>
      </c>
      <c r="G133" s="238">
        <v>161.05000000000001</v>
      </c>
      <c r="H133" s="261"/>
      <c r="I133" s="243">
        <v>1449.45</v>
      </c>
      <c r="J133" s="243">
        <v>1288.4000000000001</v>
      </c>
      <c r="K133" s="243">
        <v>1368.92</v>
      </c>
      <c r="L133" s="243">
        <v>1368.92</v>
      </c>
      <c r="M133" s="243">
        <v>1449.45</v>
      </c>
      <c r="N133" s="243">
        <v>1328.66</v>
      </c>
      <c r="O133" s="243">
        <v>1288.4000000000001</v>
      </c>
      <c r="P133" s="243">
        <v>1288.4000000000001</v>
      </c>
      <c r="Q133" s="243">
        <v>1288.4000000000001</v>
      </c>
      <c r="R133" s="243">
        <v>1251.05</v>
      </c>
      <c r="S133" s="243">
        <v>1210.79</v>
      </c>
      <c r="T133" s="243">
        <v>1254.03</v>
      </c>
      <c r="U133" s="263">
        <f>SUM(I133:T133)</f>
        <v>15834.87</v>
      </c>
      <c r="W133" s="264">
        <f t="shared" si="87"/>
        <v>9</v>
      </c>
      <c r="X133" s="264">
        <f t="shared" si="88"/>
        <v>8</v>
      </c>
      <c r="Y133" s="264">
        <f t="shared" si="89"/>
        <v>8.4999689537410745</v>
      </c>
      <c r="Z133" s="264">
        <f t="shared" si="90"/>
        <v>8.4999689537410745</v>
      </c>
      <c r="AA133" s="264">
        <f t="shared" si="91"/>
        <v>9</v>
      </c>
      <c r="AB133" s="264">
        <f t="shared" si="92"/>
        <v>8.2499844768705373</v>
      </c>
      <c r="AC133" s="264">
        <f t="shared" si="93"/>
        <v>8</v>
      </c>
      <c r="AD133" s="264">
        <f t="shared" si="94"/>
        <v>8</v>
      </c>
      <c r="AE133" s="264">
        <f t="shared" si="95"/>
        <v>8</v>
      </c>
      <c r="AF133" s="264">
        <f t="shared" si="96"/>
        <v>7.768084445824277</v>
      </c>
      <c r="AG133" s="264">
        <f t="shared" si="97"/>
        <v>7.5180999689537407</v>
      </c>
      <c r="AH133" s="264">
        <f t="shared" si="98"/>
        <v>7.7865880161440542</v>
      </c>
      <c r="AI133" s="265">
        <f t="shared" si="99"/>
        <v>8.1935579012728947</v>
      </c>
      <c r="AJ133" s="266">
        <f t="shared" si="100"/>
        <v>98.322694815274744</v>
      </c>
      <c r="AL133" s="241">
        <v>0</v>
      </c>
      <c r="AM133" s="240">
        <f t="shared" si="101"/>
        <v>0</v>
      </c>
      <c r="AN133" s="241">
        <v>1</v>
      </c>
      <c r="AO133" s="240">
        <f t="shared" si="102"/>
        <v>8.1935579012728947</v>
      </c>
      <c r="AP133" s="241">
        <v>0</v>
      </c>
      <c r="AQ133" s="240">
        <f t="shared" si="103"/>
        <v>0</v>
      </c>
    </row>
    <row r="134" spans="1:43" s="253" customFormat="1" ht="12" customHeight="1" x14ac:dyDescent="0.2">
      <c r="A134" s="253" t="str">
        <f>"all"&amp;"recycling"&amp;C134</f>
        <v>allrecyclingCRY4Y2X</v>
      </c>
      <c r="B134" s="241" t="str">
        <f t="shared" si="85"/>
        <v>ridgerecyclingCRY4Y2X</v>
      </c>
      <c r="C134" s="232" t="s">
        <v>471</v>
      </c>
      <c r="D134" s="232" t="s">
        <v>554</v>
      </c>
      <c r="E134" s="238">
        <v>288.86</v>
      </c>
      <c r="F134" s="238">
        <v>288.86</v>
      </c>
      <c r="G134" s="238">
        <v>288.86</v>
      </c>
      <c r="H134" s="261"/>
      <c r="I134" s="243">
        <v>288.86</v>
      </c>
      <c r="J134" s="243">
        <v>288.86</v>
      </c>
      <c r="K134" s="243">
        <v>505.5</v>
      </c>
      <c r="L134" s="243">
        <v>577.72</v>
      </c>
      <c r="M134" s="243">
        <v>866.58</v>
      </c>
      <c r="N134" s="243">
        <v>866.58</v>
      </c>
      <c r="O134" s="243">
        <v>938.81</v>
      </c>
      <c r="P134" s="243">
        <v>1155.44</v>
      </c>
      <c r="Q134" s="243">
        <v>1155.44</v>
      </c>
      <c r="R134" s="243">
        <v>1493.71</v>
      </c>
      <c r="S134" s="243">
        <v>1240.96</v>
      </c>
      <c r="T134" s="243">
        <v>1240.96</v>
      </c>
      <c r="U134" s="263">
        <f>SUM(I134:T134)</f>
        <v>10619.420000000002</v>
      </c>
      <c r="W134" s="264">
        <f t="shared" si="87"/>
        <v>1</v>
      </c>
      <c r="X134" s="264">
        <f t="shared" si="88"/>
        <v>1</v>
      </c>
      <c r="Y134" s="264">
        <f t="shared" si="89"/>
        <v>1.7499826905767499</v>
      </c>
      <c r="Z134" s="264">
        <f t="shared" si="90"/>
        <v>2</v>
      </c>
      <c r="AA134" s="264">
        <f t="shared" si="91"/>
        <v>3</v>
      </c>
      <c r="AB134" s="264">
        <f t="shared" si="92"/>
        <v>3</v>
      </c>
      <c r="AC134" s="264">
        <f t="shared" si="93"/>
        <v>3.2500519282697495</v>
      </c>
      <c r="AD134" s="264">
        <f t="shared" si="94"/>
        <v>4</v>
      </c>
      <c r="AE134" s="264">
        <f t="shared" si="95"/>
        <v>4</v>
      </c>
      <c r="AF134" s="264">
        <f t="shared" si="96"/>
        <v>5.1710517205566706</v>
      </c>
      <c r="AG134" s="264">
        <f t="shared" si="97"/>
        <v>4.2960603752682962</v>
      </c>
      <c r="AH134" s="264">
        <f t="shared" si="98"/>
        <v>4.2960603752682962</v>
      </c>
      <c r="AI134" s="265">
        <f t="shared" si="99"/>
        <v>3.0636005908283135</v>
      </c>
      <c r="AJ134" s="266">
        <f t="shared" si="100"/>
        <v>36.763207089939762</v>
      </c>
      <c r="AL134" s="241">
        <v>0</v>
      </c>
      <c r="AM134" s="240">
        <f t="shared" si="101"/>
        <v>0</v>
      </c>
      <c r="AN134" s="241">
        <v>1</v>
      </c>
      <c r="AO134" s="240">
        <f t="shared" si="102"/>
        <v>3.0636005908283135</v>
      </c>
      <c r="AP134" s="241">
        <v>0</v>
      </c>
      <c r="AQ134" s="240">
        <f t="shared" si="103"/>
        <v>0</v>
      </c>
    </row>
    <row r="135" spans="1:43" s="253" customFormat="1" ht="12" customHeight="1" x14ac:dyDescent="0.2">
      <c r="A135" s="253" t="str">
        <f>"all"&amp;"recycling"&amp;C135</f>
        <v>allrecyclingCRY4Y3X</v>
      </c>
      <c r="B135" s="241" t="str">
        <f t="shared" si="85"/>
        <v>ridgerecyclingCRY4Y3X</v>
      </c>
      <c r="C135" s="232" t="s">
        <v>472</v>
      </c>
      <c r="D135" s="232" t="s">
        <v>555</v>
      </c>
      <c r="E135" s="238">
        <v>416.71</v>
      </c>
      <c r="F135" s="238">
        <v>288.86</v>
      </c>
      <c r="G135" s="238">
        <v>288.86</v>
      </c>
      <c r="H135" s="261"/>
      <c r="I135" s="243">
        <v>0</v>
      </c>
      <c r="J135" s="243">
        <v>0</v>
      </c>
      <c r="K135" s="243">
        <v>0</v>
      </c>
      <c r="L135" s="243">
        <v>0</v>
      </c>
      <c r="M135" s="243">
        <v>0</v>
      </c>
      <c r="N135" s="243">
        <v>0</v>
      </c>
      <c r="O135" s="243">
        <v>0</v>
      </c>
      <c r="P135" s="243">
        <v>0</v>
      </c>
      <c r="Q135" s="243">
        <v>0</v>
      </c>
      <c r="R135" s="243">
        <v>0</v>
      </c>
      <c r="S135" s="243">
        <v>895.1</v>
      </c>
      <c r="T135" s="243">
        <v>895.1</v>
      </c>
      <c r="U135" s="263">
        <f>SUM(I135:T135)</f>
        <v>1790.2</v>
      </c>
      <c r="W135" s="264">
        <f t="shared" si="87"/>
        <v>0</v>
      </c>
      <c r="X135" s="264">
        <f t="shared" si="88"/>
        <v>0</v>
      </c>
      <c r="Y135" s="264">
        <f t="shared" si="89"/>
        <v>0</v>
      </c>
      <c r="Z135" s="264">
        <f t="shared" si="90"/>
        <v>0</v>
      </c>
      <c r="AA135" s="264">
        <f t="shared" si="91"/>
        <v>0</v>
      </c>
      <c r="AB135" s="264">
        <f t="shared" si="92"/>
        <v>0</v>
      </c>
      <c r="AC135" s="264">
        <f t="shared" si="93"/>
        <v>0</v>
      </c>
      <c r="AD135" s="264">
        <f t="shared" si="94"/>
        <v>0</v>
      </c>
      <c r="AE135" s="264">
        <f t="shared" si="95"/>
        <v>0</v>
      </c>
      <c r="AF135" s="264">
        <f t="shared" si="96"/>
        <v>0</v>
      </c>
      <c r="AG135" s="264">
        <f t="shared" si="97"/>
        <v>3.0987329502180985</v>
      </c>
      <c r="AH135" s="264">
        <f t="shared" si="98"/>
        <v>3.0987329502180985</v>
      </c>
      <c r="AI135" s="265">
        <f>+IFERROR(AVERAGE(W135:AH135),0)</f>
        <v>0.51645549170301641</v>
      </c>
      <c r="AJ135" s="266">
        <f>SUM(W135:AH135)</f>
        <v>6.1974659004361969</v>
      </c>
      <c r="AL135" s="241">
        <v>0</v>
      </c>
      <c r="AM135" s="240">
        <f t="shared" si="101"/>
        <v>0</v>
      </c>
      <c r="AN135" s="241">
        <v>1</v>
      </c>
      <c r="AO135" s="240">
        <f t="shared" si="102"/>
        <v>0.51645549170301641</v>
      </c>
      <c r="AP135" s="241">
        <v>0</v>
      </c>
      <c r="AQ135" s="240">
        <f t="shared" si="103"/>
        <v>0</v>
      </c>
    </row>
    <row r="136" spans="1:43" s="253" customFormat="1" ht="12" customHeight="1" x14ac:dyDescent="0.2">
      <c r="A136" s="253" t="str">
        <f t="shared" si="104"/>
        <v>allrecyclingCRY6Y1X</v>
      </c>
      <c r="B136" s="241" t="str">
        <f t="shared" si="85"/>
        <v>ridgerecyclingCRY6Y1X</v>
      </c>
      <c r="C136" s="232" t="s">
        <v>479</v>
      </c>
      <c r="D136" s="232" t="s">
        <v>562</v>
      </c>
      <c r="E136" s="238">
        <v>184.68</v>
      </c>
      <c r="F136" s="238">
        <v>184.68</v>
      </c>
      <c r="G136" s="238">
        <v>184.68</v>
      </c>
      <c r="H136" s="261"/>
      <c r="I136" s="243">
        <v>184.68</v>
      </c>
      <c r="J136" s="243">
        <v>323.19</v>
      </c>
      <c r="K136" s="243">
        <v>369.36</v>
      </c>
      <c r="L136" s="243">
        <v>369.36</v>
      </c>
      <c r="M136" s="243">
        <v>369.36</v>
      </c>
      <c r="N136" s="243">
        <v>507.87</v>
      </c>
      <c r="O136" s="243">
        <v>692.55</v>
      </c>
      <c r="P136" s="243">
        <v>738.72</v>
      </c>
      <c r="Q136" s="243">
        <v>738.72</v>
      </c>
      <c r="R136" s="243">
        <v>793.4</v>
      </c>
      <c r="S136" s="243">
        <v>793.4</v>
      </c>
      <c r="T136" s="243">
        <v>793.4</v>
      </c>
      <c r="U136" s="263">
        <f t="shared" si="86"/>
        <v>6674.0099999999993</v>
      </c>
      <c r="W136" s="264">
        <f t="shared" si="87"/>
        <v>1</v>
      </c>
      <c r="X136" s="264">
        <f t="shared" si="88"/>
        <v>1.75</v>
      </c>
      <c r="Y136" s="264">
        <f t="shared" si="89"/>
        <v>2</v>
      </c>
      <c r="Z136" s="264">
        <f t="shared" si="90"/>
        <v>2</v>
      </c>
      <c r="AA136" s="264">
        <f t="shared" si="91"/>
        <v>2</v>
      </c>
      <c r="AB136" s="264">
        <f t="shared" si="92"/>
        <v>2.75</v>
      </c>
      <c r="AC136" s="264">
        <f t="shared" si="93"/>
        <v>3.7499999999999996</v>
      </c>
      <c r="AD136" s="264">
        <f t="shared" si="94"/>
        <v>4</v>
      </c>
      <c r="AE136" s="264">
        <f t="shared" si="95"/>
        <v>4</v>
      </c>
      <c r="AF136" s="264">
        <f t="shared" si="96"/>
        <v>4.2960797054364299</v>
      </c>
      <c r="AG136" s="264">
        <f t="shared" si="97"/>
        <v>4.2960797054364299</v>
      </c>
      <c r="AH136" s="264">
        <f t="shared" si="98"/>
        <v>4.2960797054364299</v>
      </c>
      <c r="AI136" s="265">
        <f t="shared" si="99"/>
        <v>3.0115199263591079</v>
      </c>
      <c r="AJ136" s="266">
        <f t="shared" si="100"/>
        <v>36.138239116309293</v>
      </c>
      <c r="AL136" s="241">
        <v>0</v>
      </c>
      <c r="AM136" s="240">
        <f t="shared" si="101"/>
        <v>0</v>
      </c>
      <c r="AN136" s="241">
        <v>1</v>
      </c>
      <c r="AO136" s="240">
        <f t="shared" si="102"/>
        <v>3.0115199263591079</v>
      </c>
      <c r="AP136" s="241">
        <v>0</v>
      </c>
      <c r="AQ136" s="240">
        <f t="shared" si="103"/>
        <v>0</v>
      </c>
    </row>
    <row r="137" spans="1:43" s="253" customFormat="1" ht="12" customHeight="1" x14ac:dyDescent="0.2">
      <c r="A137" s="253" t="str">
        <f>"all"&amp;"recycling"&amp;C137</f>
        <v>allrecyclingCRY6Y2X</v>
      </c>
      <c r="B137" s="241" t="str">
        <f t="shared" si="85"/>
        <v>ridgerecyclingCRY6Y2X</v>
      </c>
      <c r="C137" s="232" t="s">
        <v>480</v>
      </c>
      <c r="D137" s="232" t="s">
        <v>563</v>
      </c>
      <c r="E137" s="238">
        <v>333.83</v>
      </c>
      <c r="F137" s="238">
        <v>333.83</v>
      </c>
      <c r="G137" s="238">
        <v>333.83</v>
      </c>
      <c r="H137" s="261"/>
      <c r="I137" s="243">
        <v>333.83</v>
      </c>
      <c r="J137" s="243">
        <v>667.66</v>
      </c>
      <c r="K137" s="243">
        <v>667.66</v>
      </c>
      <c r="L137" s="243">
        <v>667.66</v>
      </c>
      <c r="M137" s="243">
        <v>667.66</v>
      </c>
      <c r="N137" s="243">
        <v>667.66</v>
      </c>
      <c r="O137" s="243">
        <v>667.66</v>
      </c>
      <c r="P137" s="243">
        <v>667.66</v>
      </c>
      <c r="Q137" s="243">
        <v>667.66</v>
      </c>
      <c r="R137" s="243">
        <v>717.06</v>
      </c>
      <c r="S137" s="243">
        <v>358.53</v>
      </c>
      <c r="T137" s="243">
        <v>358.53</v>
      </c>
      <c r="U137" s="263">
        <f>SUM(I137:T137)</f>
        <v>7109.23</v>
      </c>
      <c r="W137" s="264">
        <f t="shared" si="87"/>
        <v>1</v>
      </c>
      <c r="X137" s="264">
        <f t="shared" si="88"/>
        <v>2</v>
      </c>
      <c r="Y137" s="264">
        <f t="shared" si="89"/>
        <v>2</v>
      </c>
      <c r="Z137" s="264">
        <f t="shared" si="90"/>
        <v>2</v>
      </c>
      <c r="AA137" s="264">
        <f t="shared" si="91"/>
        <v>2</v>
      </c>
      <c r="AB137" s="264">
        <f t="shared" si="92"/>
        <v>2</v>
      </c>
      <c r="AC137" s="264">
        <f t="shared" si="93"/>
        <v>2</v>
      </c>
      <c r="AD137" s="264">
        <f t="shared" si="94"/>
        <v>2</v>
      </c>
      <c r="AE137" s="264">
        <f t="shared" si="95"/>
        <v>2</v>
      </c>
      <c r="AF137" s="264">
        <f t="shared" si="96"/>
        <v>2.1479795105293111</v>
      </c>
      <c r="AG137" s="264">
        <f t="shared" si="97"/>
        <v>1.0739897552646556</v>
      </c>
      <c r="AH137" s="264">
        <f t="shared" si="98"/>
        <v>1.0739897552646556</v>
      </c>
      <c r="AI137" s="265">
        <f t="shared" si="99"/>
        <v>1.774663251754885</v>
      </c>
      <c r="AJ137" s="266">
        <f t="shared" si="100"/>
        <v>21.295959021058621</v>
      </c>
      <c r="AL137" s="241">
        <v>0</v>
      </c>
      <c r="AM137" s="240">
        <f t="shared" si="101"/>
        <v>0</v>
      </c>
      <c r="AN137" s="241">
        <v>1</v>
      </c>
      <c r="AO137" s="240">
        <f t="shared" si="102"/>
        <v>1.774663251754885</v>
      </c>
      <c r="AP137" s="241">
        <v>0</v>
      </c>
      <c r="AQ137" s="240">
        <f t="shared" si="103"/>
        <v>0</v>
      </c>
    </row>
    <row r="138" spans="1:43" s="253" customFormat="1" ht="12" customHeight="1" x14ac:dyDescent="0.2">
      <c r="A138" s="253" t="str">
        <f>"all"&amp;"recycling"&amp;C138</f>
        <v>allrecyclingCRY8Y2X</v>
      </c>
      <c r="B138" s="241" t="str">
        <f t="shared" si="85"/>
        <v>ridgerecyclingCRY8Y2X</v>
      </c>
      <c r="C138" s="232" t="s">
        <v>484</v>
      </c>
      <c r="D138" s="232" t="s">
        <v>567</v>
      </c>
      <c r="E138" s="238">
        <v>350.38</v>
      </c>
      <c r="F138" s="238">
        <v>350.38</v>
      </c>
      <c r="G138" s="238">
        <v>350.38</v>
      </c>
      <c r="H138" s="261"/>
      <c r="I138" s="243">
        <v>0</v>
      </c>
      <c r="J138" s="243">
        <v>0</v>
      </c>
      <c r="K138" s="243">
        <v>0</v>
      </c>
      <c r="L138" s="243">
        <v>0</v>
      </c>
      <c r="M138" s="243">
        <v>0</v>
      </c>
      <c r="N138" s="243">
        <v>0</v>
      </c>
      <c r="O138" s="243">
        <v>0</v>
      </c>
      <c r="P138" s="243">
        <v>0</v>
      </c>
      <c r="Q138" s="243">
        <v>0</v>
      </c>
      <c r="R138" s="243">
        <v>0</v>
      </c>
      <c r="S138" s="243">
        <v>0</v>
      </c>
      <c r="T138" s="243">
        <v>0</v>
      </c>
      <c r="U138" s="263">
        <f>SUM(I138:T138)</f>
        <v>0</v>
      </c>
      <c r="W138" s="264">
        <f t="shared" si="87"/>
        <v>0</v>
      </c>
      <c r="X138" s="264">
        <f t="shared" si="88"/>
        <v>0</v>
      </c>
      <c r="Y138" s="264">
        <f t="shared" si="89"/>
        <v>0</v>
      </c>
      <c r="Z138" s="264">
        <f t="shared" si="90"/>
        <v>0</v>
      </c>
      <c r="AA138" s="264">
        <f t="shared" si="91"/>
        <v>0</v>
      </c>
      <c r="AB138" s="264">
        <f t="shared" si="92"/>
        <v>0</v>
      </c>
      <c r="AC138" s="264">
        <f t="shared" si="93"/>
        <v>0</v>
      </c>
      <c r="AD138" s="264">
        <f t="shared" si="94"/>
        <v>0</v>
      </c>
      <c r="AE138" s="264">
        <f t="shared" si="95"/>
        <v>0</v>
      </c>
      <c r="AF138" s="264">
        <f t="shared" si="96"/>
        <v>0</v>
      </c>
      <c r="AG138" s="264">
        <f t="shared" si="97"/>
        <v>0</v>
      </c>
      <c r="AH138" s="264">
        <f t="shared" si="98"/>
        <v>0</v>
      </c>
      <c r="AI138" s="265">
        <f>+IFERROR(AVERAGE(W138:AH138),0)</f>
        <v>0</v>
      </c>
      <c r="AJ138" s="266">
        <f>SUM(W138:AH138)</f>
        <v>0</v>
      </c>
      <c r="AL138" s="241">
        <v>0</v>
      </c>
      <c r="AM138" s="240">
        <f t="shared" si="101"/>
        <v>0</v>
      </c>
      <c r="AN138" s="241">
        <v>1</v>
      </c>
      <c r="AO138" s="240">
        <f t="shared" si="102"/>
        <v>0</v>
      </c>
      <c r="AP138" s="241">
        <v>0</v>
      </c>
      <c r="AQ138" s="240">
        <f t="shared" si="103"/>
        <v>0</v>
      </c>
    </row>
    <row r="139" spans="1:43" s="253" customFormat="1" ht="12" customHeight="1" x14ac:dyDescent="0.2">
      <c r="A139" s="253" t="str">
        <f t="shared" si="104"/>
        <v>allrecyclingCRY2YEOW</v>
      </c>
      <c r="B139" s="241" t="str">
        <f t="shared" si="85"/>
        <v>ridgerecyclingCRY2YEOW</v>
      </c>
      <c r="C139" s="232" t="s">
        <v>463</v>
      </c>
      <c r="D139" s="232" t="s">
        <v>546</v>
      </c>
      <c r="E139" s="238">
        <v>83.2</v>
      </c>
      <c r="F139" s="238">
        <v>83.2</v>
      </c>
      <c r="G139" s="238">
        <v>83.2</v>
      </c>
      <c r="H139" s="261"/>
      <c r="I139" s="243">
        <v>0</v>
      </c>
      <c r="J139" s="243">
        <v>0</v>
      </c>
      <c r="K139" s="243">
        <v>0</v>
      </c>
      <c r="L139" s="243">
        <v>0</v>
      </c>
      <c r="M139" s="243">
        <v>0</v>
      </c>
      <c r="N139" s="243">
        <v>0</v>
      </c>
      <c r="O139" s="243">
        <v>0</v>
      </c>
      <c r="P139" s="243">
        <v>0</v>
      </c>
      <c r="Q139" s="243">
        <v>0</v>
      </c>
      <c r="R139" s="243">
        <v>0</v>
      </c>
      <c r="S139" s="243">
        <v>0</v>
      </c>
      <c r="T139" s="243">
        <v>0</v>
      </c>
      <c r="U139" s="263">
        <f t="shared" si="86"/>
        <v>0</v>
      </c>
      <c r="W139" s="264">
        <f t="shared" si="87"/>
        <v>0</v>
      </c>
      <c r="X139" s="264">
        <f t="shared" si="88"/>
        <v>0</v>
      </c>
      <c r="Y139" s="264">
        <f t="shared" si="89"/>
        <v>0</v>
      </c>
      <c r="Z139" s="264">
        <f t="shared" si="90"/>
        <v>0</v>
      </c>
      <c r="AA139" s="264">
        <f t="shared" si="91"/>
        <v>0</v>
      </c>
      <c r="AB139" s="264">
        <f t="shared" si="92"/>
        <v>0</v>
      </c>
      <c r="AC139" s="264">
        <f t="shared" si="93"/>
        <v>0</v>
      </c>
      <c r="AD139" s="264">
        <f t="shared" si="94"/>
        <v>0</v>
      </c>
      <c r="AE139" s="264">
        <f t="shared" si="95"/>
        <v>0</v>
      </c>
      <c r="AF139" s="264">
        <f t="shared" si="96"/>
        <v>0</v>
      </c>
      <c r="AG139" s="264">
        <f t="shared" si="97"/>
        <v>0</v>
      </c>
      <c r="AH139" s="264">
        <f t="shared" si="98"/>
        <v>0</v>
      </c>
      <c r="AI139" s="265">
        <f t="shared" si="99"/>
        <v>0</v>
      </c>
      <c r="AJ139" s="266">
        <f t="shared" si="100"/>
        <v>0</v>
      </c>
      <c r="AL139" s="241">
        <v>0</v>
      </c>
      <c r="AM139" s="240">
        <f t="shared" si="101"/>
        <v>0</v>
      </c>
      <c r="AN139" s="241">
        <v>1</v>
      </c>
      <c r="AO139" s="240">
        <f t="shared" si="102"/>
        <v>0</v>
      </c>
      <c r="AP139" s="241">
        <v>0</v>
      </c>
      <c r="AQ139" s="240">
        <f t="shared" si="103"/>
        <v>0</v>
      </c>
    </row>
    <row r="140" spans="1:43" s="253" customFormat="1" ht="12" customHeight="1" x14ac:dyDescent="0.2">
      <c r="A140" s="253" t="str">
        <f t="shared" si="104"/>
        <v>allrecyclingCRY3YEOW</v>
      </c>
      <c r="B140" s="241" t="str">
        <f t="shared" si="85"/>
        <v>ridgerecyclingCRY3YEOW</v>
      </c>
      <c r="C140" s="232" t="s">
        <v>469</v>
      </c>
      <c r="D140" s="232" t="s">
        <v>552</v>
      </c>
      <c r="E140" s="238">
        <v>90.56</v>
      </c>
      <c r="F140" s="238">
        <v>90.56</v>
      </c>
      <c r="G140" s="238">
        <v>90.56</v>
      </c>
      <c r="H140" s="261"/>
      <c r="I140" s="243">
        <v>181.12</v>
      </c>
      <c r="J140" s="243">
        <v>181.12</v>
      </c>
      <c r="K140" s="243">
        <v>181.12</v>
      </c>
      <c r="L140" s="243">
        <v>181.12</v>
      </c>
      <c r="M140" s="243">
        <v>181.12</v>
      </c>
      <c r="N140" s="243">
        <v>181.12</v>
      </c>
      <c r="O140" s="243">
        <v>181.12</v>
      </c>
      <c r="P140" s="243">
        <v>181.12</v>
      </c>
      <c r="Q140" s="243">
        <v>181.12</v>
      </c>
      <c r="R140" s="243">
        <v>194.52</v>
      </c>
      <c r="S140" s="243">
        <v>194.52</v>
      </c>
      <c r="T140" s="243">
        <v>194.52</v>
      </c>
      <c r="U140" s="263">
        <f t="shared" si="86"/>
        <v>2213.64</v>
      </c>
      <c r="W140" s="264">
        <f t="shared" si="87"/>
        <v>2</v>
      </c>
      <c r="X140" s="264">
        <f t="shared" si="88"/>
        <v>2</v>
      </c>
      <c r="Y140" s="264">
        <f t="shared" si="89"/>
        <v>2</v>
      </c>
      <c r="Z140" s="264">
        <f t="shared" si="90"/>
        <v>2</v>
      </c>
      <c r="AA140" s="264">
        <f t="shared" si="91"/>
        <v>2</v>
      </c>
      <c r="AB140" s="264">
        <f t="shared" si="92"/>
        <v>2</v>
      </c>
      <c r="AC140" s="264">
        <f t="shared" si="93"/>
        <v>2</v>
      </c>
      <c r="AD140" s="264">
        <f t="shared" si="94"/>
        <v>2</v>
      </c>
      <c r="AE140" s="264">
        <f t="shared" si="95"/>
        <v>2</v>
      </c>
      <c r="AF140" s="264">
        <f t="shared" si="96"/>
        <v>2.1479681978798588</v>
      </c>
      <c r="AG140" s="264">
        <f t="shared" si="97"/>
        <v>2.1479681978798588</v>
      </c>
      <c r="AH140" s="264">
        <f t="shared" si="98"/>
        <v>2.1479681978798588</v>
      </c>
      <c r="AI140" s="265">
        <f t="shared" si="99"/>
        <v>2.0369920494699647</v>
      </c>
      <c r="AJ140" s="266">
        <f t="shared" si="100"/>
        <v>24.443904593639576</v>
      </c>
      <c r="AL140" s="241">
        <v>0</v>
      </c>
      <c r="AM140" s="240">
        <f t="shared" si="101"/>
        <v>0</v>
      </c>
      <c r="AN140" s="241">
        <v>1</v>
      </c>
      <c r="AO140" s="240">
        <f t="shared" si="102"/>
        <v>2.0369920494699647</v>
      </c>
      <c r="AP140" s="241">
        <v>0</v>
      </c>
      <c r="AQ140" s="240">
        <f t="shared" si="103"/>
        <v>0</v>
      </c>
    </row>
    <row r="141" spans="1:43" s="253" customFormat="1" ht="12" customHeight="1" x14ac:dyDescent="0.2">
      <c r="A141" s="253" t="str">
        <f t="shared" si="104"/>
        <v>allrecyclingCRY4YEOW</v>
      </c>
      <c r="B141" s="241" t="str">
        <f t="shared" si="85"/>
        <v>ridgerecyclingCRY4YEOW</v>
      </c>
      <c r="C141" s="232" t="s">
        <v>473</v>
      </c>
      <c r="D141" s="232" t="s">
        <v>556</v>
      </c>
      <c r="E141" s="238">
        <v>100.34</v>
      </c>
      <c r="F141" s="238">
        <v>100.34</v>
      </c>
      <c r="G141" s="238">
        <v>100.34</v>
      </c>
      <c r="H141" s="261"/>
      <c r="I141" s="243">
        <v>301.02</v>
      </c>
      <c r="J141" s="243">
        <v>301.02</v>
      </c>
      <c r="K141" s="243">
        <v>301.02</v>
      </c>
      <c r="L141" s="243">
        <v>301.02</v>
      </c>
      <c r="M141" s="243">
        <v>301.02</v>
      </c>
      <c r="N141" s="243">
        <v>301.02</v>
      </c>
      <c r="O141" s="243">
        <v>301.02</v>
      </c>
      <c r="P141" s="243">
        <v>301.02</v>
      </c>
      <c r="Q141" s="243">
        <v>301.02</v>
      </c>
      <c r="R141" s="243">
        <v>323.31</v>
      </c>
      <c r="S141" s="243">
        <v>323.31</v>
      </c>
      <c r="T141" s="243">
        <v>323.31</v>
      </c>
      <c r="U141" s="263">
        <f t="shared" si="86"/>
        <v>3679.1099999999997</v>
      </c>
      <c r="W141" s="264">
        <f t="shared" si="87"/>
        <v>2.9999999999999996</v>
      </c>
      <c r="X141" s="264">
        <f t="shared" si="88"/>
        <v>2.9999999999999996</v>
      </c>
      <c r="Y141" s="264">
        <f t="shared" si="89"/>
        <v>2.9999999999999996</v>
      </c>
      <c r="Z141" s="264">
        <f t="shared" si="90"/>
        <v>2.9999999999999996</v>
      </c>
      <c r="AA141" s="264">
        <f t="shared" si="91"/>
        <v>2.9999999999999996</v>
      </c>
      <c r="AB141" s="264">
        <f t="shared" si="92"/>
        <v>2.9999999999999996</v>
      </c>
      <c r="AC141" s="264">
        <f t="shared" si="93"/>
        <v>2.9999999999999996</v>
      </c>
      <c r="AD141" s="264">
        <f t="shared" si="94"/>
        <v>2.9999999999999996</v>
      </c>
      <c r="AE141" s="264">
        <f t="shared" si="95"/>
        <v>2.9999999999999996</v>
      </c>
      <c r="AF141" s="264">
        <f t="shared" si="96"/>
        <v>3.2221447079928245</v>
      </c>
      <c r="AG141" s="264">
        <f t="shared" si="97"/>
        <v>3.2221447079928245</v>
      </c>
      <c r="AH141" s="264">
        <f t="shared" si="98"/>
        <v>3.2221447079928245</v>
      </c>
      <c r="AI141" s="265">
        <f t="shared" si="99"/>
        <v>3.0555361769982059</v>
      </c>
      <c r="AJ141" s="266">
        <f t="shared" si="100"/>
        <v>36.666434123978469</v>
      </c>
      <c r="AL141" s="241">
        <v>0</v>
      </c>
      <c r="AM141" s="240">
        <f t="shared" si="101"/>
        <v>0</v>
      </c>
      <c r="AN141" s="241">
        <v>1</v>
      </c>
      <c r="AO141" s="240">
        <f t="shared" si="102"/>
        <v>3.0555361769982059</v>
      </c>
      <c r="AP141" s="241">
        <v>0</v>
      </c>
      <c r="AQ141" s="240">
        <f t="shared" si="103"/>
        <v>0</v>
      </c>
    </row>
    <row r="142" spans="1:43" s="253" customFormat="1" ht="12" customHeight="1" x14ac:dyDescent="0.2">
      <c r="A142" s="253" t="str">
        <f t="shared" si="104"/>
        <v>allrecyclingCRY2-4Y1X</v>
      </c>
      <c r="B142" s="241" t="str">
        <f t="shared" si="85"/>
        <v>ridgerecyclingCRY2-4Y1X</v>
      </c>
      <c r="C142" s="232" t="s">
        <v>474</v>
      </c>
      <c r="D142" s="232" t="s">
        <v>557</v>
      </c>
      <c r="E142" s="238">
        <v>281.72000000000003</v>
      </c>
      <c r="F142" s="238">
        <v>281.72000000000003</v>
      </c>
      <c r="G142" s="238">
        <v>281.72000000000003</v>
      </c>
      <c r="H142" s="261"/>
      <c r="I142" s="243">
        <v>552.80999999999995</v>
      </c>
      <c r="J142" s="243">
        <v>552.80999999999995</v>
      </c>
      <c r="K142" s="243">
        <v>575.85</v>
      </c>
      <c r="L142" s="243">
        <v>575.85</v>
      </c>
      <c r="M142" s="243">
        <v>575.85</v>
      </c>
      <c r="N142" s="243">
        <v>575.85</v>
      </c>
      <c r="O142" s="243">
        <v>575.85</v>
      </c>
      <c r="P142" s="243">
        <v>575.85</v>
      </c>
      <c r="Q142" s="243">
        <v>575.85</v>
      </c>
      <c r="R142" s="243">
        <v>596.70000000000005</v>
      </c>
      <c r="S142" s="243">
        <v>596.70000000000005</v>
      </c>
      <c r="T142" s="243">
        <v>596.70000000000005</v>
      </c>
      <c r="U142" s="263">
        <f>SUM(I142:T142)</f>
        <v>6926.6699999999992</v>
      </c>
      <c r="W142" s="264">
        <f t="shared" si="87"/>
        <v>1.9622674996450373</v>
      </c>
      <c r="X142" s="264">
        <f t="shared" si="88"/>
        <v>1.9622674996450373</v>
      </c>
      <c r="Y142" s="264">
        <f t="shared" si="89"/>
        <v>2.0440508306119551</v>
      </c>
      <c r="Z142" s="264">
        <f t="shared" si="90"/>
        <v>2.0440508306119551</v>
      </c>
      <c r="AA142" s="264">
        <f t="shared" si="91"/>
        <v>2.0440508306119551</v>
      </c>
      <c r="AB142" s="264">
        <f t="shared" si="92"/>
        <v>2.0440508306119551</v>
      </c>
      <c r="AC142" s="264">
        <f t="shared" si="93"/>
        <v>2.0440508306119551</v>
      </c>
      <c r="AD142" s="264">
        <f t="shared" si="94"/>
        <v>2.0440508306119551</v>
      </c>
      <c r="AE142" s="264">
        <f t="shared" si="95"/>
        <v>2.0440508306119551</v>
      </c>
      <c r="AF142" s="264">
        <f t="shared" si="96"/>
        <v>2.1180604855885274</v>
      </c>
      <c r="AG142" s="264">
        <f t="shared" si="97"/>
        <v>2.1180604855885274</v>
      </c>
      <c r="AH142" s="264">
        <f t="shared" si="98"/>
        <v>2.1180604855885274</v>
      </c>
      <c r="AI142" s="265">
        <f t="shared" si="99"/>
        <v>2.0489226891949457</v>
      </c>
      <c r="AJ142" s="266">
        <f t="shared" si="100"/>
        <v>24.587072270339348</v>
      </c>
      <c r="AL142" s="241">
        <v>0</v>
      </c>
      <c r="AM142" s="240">
        <f t="shared" si="101"/>
        <v>0</v>
      </c>
      <c r="AN142" s="241">
        <v>2</v>
      </c>
      <c r="AO142" s="240">
        <f t="shared" si="102"/>
        <v>4.0978453783898914</v>
      </c>
      <c r="AP142" s="241">
        <v>0</v>
      </c>
      <c r="AQ142" s="240">
        <f t="shared" si="103"/>
        <v>0</v>
      </c>
    </row>
    <row r="143" spans="1:43" s="253" customFormat="1" ht="12" customHeight="1" x14ac:dyDescent="0.2">
      <c r="A143" s="253" t="str">
        <f>"all"&amp;"recycling"&amp;C143</f>
        <v>allrecyclingCRY2-4Y2X</v>
      </c>
      <c r="B143" s="241" t="str">
        <f t="shared" si="85"/>
        <v>ridgerecyclingCRY2-4Y2X</v>
      </c>
      <c r="C143" s="232" t="s">
        <v>475</v>
      </c>
      <c r="D143" s="232" t="s">
        <v>558</v>
      </c>
      <c r="E143" s="238">
        <v>497.19</v>
      </c>
      <c r="F143" s="238">
        <v>497.19</v>
      </c>
      <c r="G143" s="238">
        <v>497.19</v>
      </c>
      <c r="H143" s="261"/>
      <c r="I143" s="243">
        <v>497.19</v>
      </c>
      <c r="J143" s="243">
        <v>497.19</v>
      </c>
      <c r="K143" s="243">
        <v>497.19</v>
      </c>
      <c r="L143" s="243">
        <v>497.19</v>
      </c>
      <c r="M143" s="243">
        <v>497.19</v>
      </c>
      <c r="N143" s="243">
        <v>497.19</v>
      </c>
      <c r="O143" s="243">
        <v>497.19</v>
      </c>
      <c r="P143" s="243">
        <v>497.19</v>
      </c>
      <c r="Q143" s="243">
        <v>497.19</v>
      </c>
      <c r="R143" s="243">
        <v>533.98</v>
      </c>
      <c r="S143" s="243">
        <v>533.98</v>
      </c>
      <c r="T143" s="243">
        <v>533.98</v>
      </c>
      <c r="U143" s="263">
        <f>SUM(I143:T143)</f>
        <v>6076.65</v>
      </c>
      <c r="W143" s="264">
        <f t="shared" si="87"/>
        <v>1</v>
      </c>
      <c r="X143" s="264">
        <f t="shared" si="88"/>
        <v>1</v>
      </c>
      <c r="Y143" s="264">
        <f t="shared" si="89"/>
        <v>1</v>
      </c>
      <c r="Z143" s="264">
        <f t="shared" si="90"/>
        <v>1</v>
      </c>
      <c r="AA143" s="264">
        <f t="shared" si="91"/>
        <v>1</v>
      </c>
      <c r="AB143" s="264">
        <f t="shared" si="92"/>
        <v>1</v>
      </c>
      <c r="AC143" s="264">
        <f t="shared" si="93"/>
        <v>1</v>
      </c>
      <c r="AD143" s="264">
        <f t="shared" si="94"/>
        <v>1</v>
      </c>
      <c r="AE143" s="264">
        <f t="shared" si="95"/>
        <v>1</v>
      </c>
      <c r="AF143" s="264">
        <f t="shared" si="96"/>
        <v>1.073995856714737</v>
      </c>
      <c r="AG143" s="264">
        <f t="shared" si="97"/>
        <v>1.073995856714737</v>
      </c>
      <c r="AH143" s="264">
        <f t="shared" si="98"/>
        <v>1.073995856714737</v>
      </c>
      <c r="AI143" s="265">
        <f t="shared" si="99"/>
        <v>1.0184989641786841</v>
      </c>
      <c r="AJ143" s="266">
        <f t="shared" si="100"/>
        <v>12.22198757014421</v>
      </c>
      <c r="AL143" s="241">
        <v>0</v>
      </c>
      <c r="AM143" s="240">
        <f t="shared" si="101"/>
        <v>0</v>
      </c>
      <c r="AN143" s="241">
        <v>2</v>
      </c>
      <c r="AO143" s="240">
        <f t="shared" si="102"/>
        <v>2.0369979283573683</v>
      </c>
      <c r="AP143" s="241">
        <v>0</v>
      </c>
      <c r="AQ143" s="240">
        <f t="shared" si="103"/>
        <v>0</v>
      </c>
    </row>
    <row r="144" spans="1:43" s="253" customFormat="1" ht="12" customHeight="1" x14ac:dyDescent="0.2">
      <c r="A144" s="253" t="str">
        <f>"all"&amp;"recycling"&amp;C144</f>
        <v>allrecyclingCRY6YEOW</v>
      </c>
      <c r="B144" s="241" t="str">
        <f t="shared" si="85"/>
        <v>ridgerecyclingCRY6YEOW</v>
      </c>
      <c r="C144" s="232" t="s">
        <v>482</v>
      </c>
      <c r="D144" s="232" t="s">
        <v>565</v>
      </c>
      <c r="E144" s="238">
        <v>115</v>
      </c>
      <c r="F144" s="238">
        <v>115</v>
      </c>
      <c r="G144" s="238">
        <v>115</v>
      </c>
      <c r="H144" s="261"/>
      <c r="I144" s="243">
        <v>206.09</v>
      </c>
      <c r="J144" s="243">
        <v>206.09</v>
      </c>
      <c r="K144" s="243">
        <v>206.09</v>
      </c>
      <c r="L144" s="243">
        <v>206.09</v>
      </c>
      <c r="M144" s="243">
        <v>177.34</v>
      </c>
      <c r="N144" s="243">
        <v>206.09</v>
      </c>
      <c r="O144" s="243">
        <v>206.09</v>
      </c>
      <c r="P144" s="243">
        <v>206.09</v>
      </c>
      <c r="Q144" s="243">
        <v>206.09</v>
      </c>
      <c r="R144" s="243">
        <v>214.6</v>
      </c>
      <c r="S144" s="243">
        <v>214.6</v>
      </c>
      <c r="T144" s="243">
        <v>214.6</v>
      </c>
      <c r="U144" s="263">
        <f>SUM(I144:T144)</f>
        <v>2469.8599999999997</v>
      </c>
      <c r="W144" s="264">
        <f t="shared" si="87"/>
        <v>1.7920869565217392</v>
      </c>
      <c r="X144" s="264">
        <f t="shared" si="88"/>
        <v>1.7920869565217392</v>
      </c>
      <c r="Y144" s="264">
        <f t="shared" si="89"/>
        <v>1.7920869565217392</v>
      </c>
      <c r="Z144" s="264">
        <f t="shared" si="90"/>
        <v>1.7920869565217392</v>
      </c>
      <c r="AA144" s="264">
        <f t="shared" si="91"/>
        <v>1.5420869565217392</v>
      </c>
      <c r="AB144" s="264">
        <f t="shared" si="92"/>
        <v>1.7920869565217392</v>
      </c>
      <c r="AC144" s="264">
        <f t="shared" si="93"/>
        <v>1.7920869565217392</v>
      </c>
      <c r="AD144" s="264">
        <f t="shared" si="94"/>
        <v>1.7920869565217392</v>
      </c>
      <c r="AE144" s="264">
        <f t="shared" si="95"/>
        <v>1.7920869565217392</v>
      </c>
      <c r="AF144" s="264">
        <f t="shared" si="96"/>
        <v>1.8660869565217391</v>
      </c>
      <c r="AG144" s="264">
        <f t="shared" si="97"/>
        <v>1.8660869565217391</v>
      </c>
      <c r="AH144" s="264">
        <f t="shared" si="98"/>
        <v>1.8660869565217391</v>
      </c>
      <c r="AI144" s="265">
        <f>+IFERROR(AVERAGE(W144:AH144),0)</f>
        <v>1.7897536231884057</v>
      </c>
      <c r="AJ144" s="266">
        <f>SUM(W144:AH144)</f>
        <v>21.477043478260867</v>
      </c>
      <c r="AL144" s="241">
        <v>0</v>
      </c>
      <c r="AM144" s="240">
        <f t="shared" si="101"/>
        <v>0</v>
      </c>
      <c r="AN144" s="241">
        <v>1</v>
      </c>
      <c r="AO144" s="240">
        <f t="shared" si="102"/>
        <v>1.7897536231884057</v>
      </c>
      <c r="AP144" s="241">
        <v>0</v>
      </c>
      <c r="AQ144" s="240">
        <f t="shared" si="103"/>
        <v>0</v>
      </c>
    </row>
    <row r="145" spans="1:44" s="253" customFormat="1" ht="12" customHeight="1" x14ac:dyDescent="0.2">
      <c r="A145" s="253" t="str">
        <f t="shared" si="104"/>
        <v>allrecyclingCRY8Y1X</v>
      </c>
      <c r="B145" s="241" t="str">
        <f t="shared" si="85"/>
        <v>ridgerecyclingCRY8Y1X</v>
      </c>
      <c r="C145" s="232" t="s">
        <v>483</v>
      </c>
      <c r="D145" s="232" t="s">
        <v>566</v>
      </c>
      <c r="E145" s="238">
        <v>196.49</v>
      </c>
      <c r="F145" s="238">
        <v>196.49</v>
      </c>
      <c r="G145" s="238">
        <v>196.49</v>
      </c>
      <c r="H145" s="261"/>
      <c r="I145" s="243">
        <v>0</v>
      </c>
      <c r="J145" s="243">
        <v>49.12</v>
      </c>
      <c r="K145" s="243">
        <v>0</v>
      </c>
      <c r="L145" s="243">
        <v>0</v>
      </c>
      <c r="M145" s="243">
        <v>0</v>
      </c>
      <c r="N145" s="243">
        <v>0</v>
      </c>
      <c r="O145" s="243">
        <v>0</v>
      </c>
      <c r="P145" s="243">
        <v>0</v>
      </c>
      <c r="Q145" s="243">
        <v>0</v>
      </c>
      <c r="R145" s="243">
        <v>0</v>
      </c>
      <c r="S145" s="243">
        <v>0</v>
      </c>
      <c r="T145" s="243">
        <v>0</v>
      </c>
      <c r="U145" s="263">
        <f t="shared" si="86"/>
        <v>49.12</v>
      </c>
      <c r="W145" s="264">
        <f t="shared" si="87"/>
        <v>0</v>
      </c>
      <c r="X145" s="264">
        <f t="shared" si="88"/>
        <v>0.24998727670619367</v>
      </c>
      <c r="Y145" s="264">
        <f t="shared" si="89"/>
        <v>0</v>
      </c>
      <c r="Z145" s="264">
        <f t="shared" si="90"/>
        <v>0</v>
      </c>
      <c r="AA145" s="264">
        <f t="shared" si="91"/>
        <v>0</v>
      </c>
      <c r="AB145" s="264">
        <f t="shared" si="92"/>
        <v>0</v>
      </c>
      <c r="AC145" s="264">
        <f t="shared" si="93"/>
        <v>0</v>
      </c>
      <c r="AD145" s="264">
        <f t="shared" si="94"/>
        <v>0</v>
      </c>
      <c r="AE145" s="264">
        <f t="shared" si="95"/>
        <v>0</v>
      </c>
      <c r="AF145" s="264">
        <f t="shared" si="96"/>
        <v>0</v>
      </c>
      <c r="AG145" s="264">
        <f t="shared" si="97"/>
        <v>0</v>
      </c>
      <c r="AH145" s="264">
        <f t="shared" si="98"/>
        <v>0</v>
      </c>
      <c r="AI145" s="265">
        <f t="shared" si="99"/>
        <v>2.0832273058849472E-2</v>
      </c>
      <c r="AJ145" s="266">
        <f t="shared" si="100"/>
        <v>0.24998727670619367</v>
      </c>
      <c r="AL145" s="241">
        <v>0</v>
      </c>
      <c r="AM145" s="240">
        <f t="shared" si="101"/>
        <v>0</v>
      </c>
      <c r="AN145" s="241">
        <v>1</v>
      </c>
      <c r="AO145" s="240">
        <f t="shared" si="102"/>
        <v>2.0832273058849472E-2</v>
      </c>
      <c r="AP145" s="241">
        <v>0</v>
      </c>
      <c r="AQ145" s="240">
        <f t="shared" si="103"/>
        <v>0</v>
      </c>
    </row>
    <row r="146" spans="1:44" s="253" customFormat="1" ht="12" customHeight="1" x14ac:dyDescent="0.2">
      <c r="A146" s="253" t="str">
        <f t="shared" si="104"/>
        <v>allrecyclingCRY90EOW</v>
      </c>
      <c r="B146" s="241" t="str">
        <f t="shared" si="85"/>
        <v>ridgerecyclingCRY90EOW</v>
      </c>
      <c r="C146" s="232" t="s">
        <v>492</v>
      </c>
      <c r="D146" s="232" t="s">
        <v>575</v>
      </c>
      <c r="E146" s="238">
        <v>40.770000000000003</v>
      </c>
      <c r="F146" s="238">
        <v>40.770000000000003</v>
      </c>
      <c r="G146" s="238">
        <v>40.770000000000003</v>
      </c>
      <c r="H146" s="261"/>
      <c r="I146" s="243">
        <v>328.31</v>
      </c>
      <c r="J146" s="243">
        <v>328.31</v>
      </c>
      <c r="K146" s="243">
        <v>328.31</v>
      </c>
      <c r="L146" s="243">
        <v>328.31</v>
      </c>
      <c r="M146" s="243">
        <v>328.31</v>
      </c>
      <c r="N146" s="243">
        <v>328.31</v>
      </c>
      <c r="O146" s="243">
        <v>328.31</v>
      </c>
      <c r="P146" s="243">
        <v>328.31</v>
      </c>
      <c r="Q146" s="243">
        <v>328.31</v>
      </c>
      <c r="R146" s="243">
        <v>346.43</v>
      </c>
      <c r="S146" s="243">
        <v>346.43</v>
      </c>
      <c r="T146" s="243">
        <v>346.43</v>
      </c>
      <c r="U146" s="263">
        <f>SUM(I146:T146)</f>
        <v>3994.0799999999995</v>
      </c>
      <c r="W146" s="264">
        <f t="shared" si="87"/>
        <v>8.0527348540593575</v>
      </c>
      <c r="X146" s="264">
        <f t="shared" si="88"/>
        <v>8.0527348540593575</v>
      </c>
      <c r="Y146" s="264">
        <f t="shared" si="89"/>
        <v>8.0527348540593575</v>
      </c>
      <c r="Z146" s="264">
        <f t="shared" si="90"/>
        <v>8.0527348540593575</v>
      </c>
      <c r="AA146" s="264">
        <f t="shared" si="91"/>
        <v>8.0527348540593575</v>
      </c>
      <c r="AB146" s="264">
        <f t="shared" si="92"/>
        <v>8.0527348540593575</v>
      </c>
      <c r="AC146" s="264">
        <f t="shared" si="93"/>
        <v>8.0527348540593575</v>
      </c>
      <c r="AD146" s="264">
        <f t="shared" si="94"/>
        <v>8.0527348540593575</v>
      </c>
      <c r="AE146" s="264">
        <f t="shared" si="95"/>
        <v>8.0527348540593575</v>
      </c>
      <c r="AF146" s="264">
        <f t="shared" si="96"/>
        <v>8.4971792985038022</v>
      </c>
      <c r="AG146" s="264">
        <f t="shared" si="97"/>
        <v>8.4971792985038022</v>
      </c>
      <c r="AH146" s="264">
        <f t="shared" si="98"/>
        <v>8.4971792985038022</v>
      </c>
      <c r="AI146" s="265">
        <f t="shared" si="99"/>
        <v>8.1638459651704665</v>
      </c>
      <c r="AJ146" s="266">
        <f t="shared" si="100"/>
        <v>97.966151582045597</v>
      </c>
      <c r="AL146" s="241">
        <v>1</v>
      </c>
      <c r="AM146" s="240">
        <f t="shared" si="101"/>
        <v>8.1638459651704665</v>
      </c>
      <c r="AN146" s="241">
        <v>0</v>
      </c>
      <c r="AO146" s="240">
        <f t="shared" si="102"/>
        <v>0</v>
      </c>
      <c r="AP146" s="241">
        <v>0</v>
      </c>
      <c r="AQ146" s="240">
        <f t="shared" si="103"/>
        <v>0</v>
      </c>
    </row>
    <row r="147" spans="1:44" s="253" customFormat="1" ht="12" customHeight="1" x14ac:dyDescent="0.2">
      <c r="A147" s="253" t="str">
        <f t="shared" si="104"/>
        <v>allrecyclingCRY90EOW2</v>
      </c>
      <c r="B147" s="241" t="str">
        <f t="shared" si="85"/>
        <v>ridgerecyclingCRY90EOW2</v>
      </c>
      <c r="C147" s="232" t="s">
        <v>495</v>
      </c>
      <c r="D147" s="232" t="s">
        <v>578</v>
      </c>
      <c r="E147" s="238">
        <v>50.5</v>
      </c>
      <c r="F147" s="238">
        <v>50.5</v>
      </c>
      <c r="G147" s="238">
        <v>50.5</v>
      </c>
      <c r="H147" s="261"/>
      <c r="I147" s="243">
        <v>50.5</v>
      </c>
      <c r="J147" s="243">
        <v>50.5</v>
      </c>
      <c r="K147" s="243">
        <v>50.5</v>
      </c>
      <c r="L147" s="243">
        <v>50.5</v>
      </c>
      <c r="M147" s="243">
        <v>50.5</v>
      </c>
      <c r="N147" s="243">
        <v>50.5</v>
      </c>
      <c r="O147" s="243">
        <v>50.5</v>
      </c>
      <c r="P147" s="243">
        <v>50.5</v>
      </c>
      <c r="Q147" s="243">
        <v>50.5</v>
      </c>
      <c r="R147" s="243">
        <v>54.24</v>
      </c>
      <c r="S147" s="243">
        <v>54.24</v>
      </c>
      <c r="T147" s="243">
        <v>54.24</v>
      </c>
      <c r="U147" s="263">
        <f>SUM(I147:T147)</f>
        <v>617.22</v>
      </c>
      <c r="W147" s="264">
        <f t="shared" si="87"/>
        <v>1</v>
      </c>
      <c r="X147" s="264">
        <f t="shared" si="88"/>
        <v>1</v>
      </c>
      <c r="Y147" s="264">
        <f t="shared" si="89"/>
        <v>1</v>
      </c>
      <c r="Z147" s="264">
        <f t="shared" si="90"/>
        <v>1</v>
      </c>
      <c r="AA147" s="264">
        <f t="shared" si="91"/>
        <v>1</v>
      </c>
      <c r="AB147" s="264">
        <f t="shared" si="92"/>
        <v>1</v>
      </c>
      <c r="AC147" s="264">
        <f t="shared" si="93"/>
        <v>1</v>
      </c>
      <c r="AD147" s="264">
        <f t="shared" si="94"/>
        <v>1</v>
      </c>
      <c r="AE147" s="264">
        <f t="shared" si="95"/>
        <v>1</v>
      </c>
      <c r="AF147" s="264">
        <f t="shared" si="96"/>
        <v>1.0740594059405941</v>
      </c>
      <c r="AG147" s="264">
        <f t="shared" si="97"/>
        <v>1.0740594059405941</v>
      </c>
      <c r="AH147" s="264">
        <f t="shared" si="98"/>
        <v>1.0740594059405941</v>
      </c>
      <c r="AI147" s="265">
        <f t="shared" si="99"/>
        <v>1.0185148514851488</v>
      </c>
      <c r="AJ147" s="266">
        <f t="shared" si="100"/>
        <v>12.222178217821785</v>
      </c>
      <c r="AL147" s="241">
        <v>2</v>
      </c>
      <c r="AM147" s="240">
        <f t="shared" si="101"/>
        <v>2.0370297029702975</v>
      </c>
      <c r="AN147" s="241">
        <v>0</v>
      </c>
      <c r="AO147" s="240">
        <f t="shared" si="102"/>
        <v>0</v>
      </c>
      <c r="AP147" s="241">
        <v>0</v>
      </c>
      <c r="AQ147" s="240">
        <f t="shared" si="103"/>
        <v>0</v>
      </c>
    </row>
    <row r="148" spans="1:44" s="253" customFormat="1" ht="12" customHeight="1" x14ac:dyDescent="0.2">
      <c r="A148" s="253" t="str">
        <f>"all"&amp;"recycling"&amp;C148</f>
        <v>allrecyclingCRY90EOW3</v>
      </c>
      <c r="B148" s="241" t="str">
        <f t="shared" si="85"/>
        <v>ridgerecyclingCRY90EOW3</v>
      </c>
      <c r="C148" s="232" t="s">
        <v>496</v>
      </c>
      <c r="D148" s="232" t="s">
        <v>579</v>
      </c>
      <c r="E148" s="238">
        <v>60.23</v>
      </c>
      <c r="F148" s="238">
        <v>60.23</v>
      </c>
      <c r="G148" s="238">
        <v>60.23</v>
      </c>
      <c r="H148" s="261"/>
      <c r="I148" s="243">
        <v>60.23</v>
      </c>
      <c r="J148" s="243">
        <v>60.23</v>
      </c>
      <c r="K148" s="243">
        <v>60.23</v>
      </c>
      <c r="L148" s="243">
        <v>60.23</v>
      </c>
      <c r="M148" s="243">
        <v>60.23</v>
      </c>
      <c r="N148" s="243">
        <v>60.23</v>
      </c>
      <c r="O148" s="243">
        <v>60.23</v>
      </c>
      <c r="P148" s="243">
        <v>60.23</v>
      </c>
      <c r="Q148" s="243">
        <v>60.23</v>
      </c>
      <c r="R148" s="243">
        <v>64.69</v>
      </c>
      <c r="S148" s="243">
        <v>64.69</v>
      </c>
      <c r="T148" s="243">
        <v>64.69</v>
      </c>
      <c r="U148" s="263">
        <f>SUM(I148:T148)</f>
        <v>736.1400000000001</v>
      </c>
      <c r="W148" s="264">
        <f t="shared" si="87"/>
        <v>1</v>
      </c>
      <c r="X148" s="264">
        <f t="shared" si="88"/>
        <v>1</v>
      </c>
      <c r="Y148" s="264">
        <f t="shared" si="89"/>
        <v>1</v>
      </c>
      <c r="Z148" s="264">
        <f t="shared" si="90"/>
        <v>1</v>
      </c>
      <c r="AA148" s="264">
        <f t="shared" si="91"/>
        <v>1</v>
      </c>
      <c r="AB148" s="264">
        <f t="shared" si="92"/>
        <v>1</v>
      </c>
      <c r="AC148" s="264">
        <f t="shared" si="93"/>
        <v>1</v>
      </c>
      <c r="AD148" s="264">
        <f t="shared" si="94"/>
        <v>1</v>
      </c>
      <c r="AE148" s="264">
        <f t="shared" si="95"/>
        <v>1</v>
      </c>
      <c r="AF148" s="264">
        <f t="shared" si="96"/>
        <v>1.0740494770048148</v>
      </c>
      <c r="AG148" s="264">
        <f t="shared" si="97"/>
        <v>1.0740494770048148</v>
      </c>
      <c r="AH148" s="264">
        <f t="shared" si="98"/>
        <v>1.0740494770048148</v>
      </c>
      <c r="AI148" s="265">
        <f t="shared" si="99"/>
        <v>1.0185123692512037</v>
      </c>
      <c r="AJ148" s="266">
        <f t="shared" si="100"/>
        <v>12.222148431014444</v>
      </c>
      <c r="AL148" s="241">
        <v>3</v>
      </c>
      <c r="AM148" s="240">
        <f t="shared" si="101"/>
        <v>3.0555371077536111</v>
      </c>
      <c r="AN148" s="241">
        <v>0</v>
      </c>
      <c r="AO148" s="240">
        <f t="shared" si="102"/>
        <v>0</v>
      </c>
      <c r="AP148" s="241">
        <v>0</v>
      </c>
      <c r="AQ148" s="240">
        <f t="shared" si="103"/>
        <v>0</v>
      </c>
    </row>
    <row r="149" spans="1:44" s="253" customFormat="1" ht="12" customHeight="1" x14ac:dyDescent="0.2">
      <c r="A149" s="253" t="str">
        <f t="shared" si="104"/>
        <v>allrecyclingCRY901X</v>
      </c>
      <c r="B149" s="241" t="str">
        <f t="shared" si="85"/>
        <v>ridgerecyclingCRY901X</v>
      </c>
      <c r="C149" s="232" t="s">
        <v>490</v>
      </c>
      <c r="D149" s="232" t="s">
        <v>573</v>
      </c>
      <c r="E149" s="238">
        <v>79.64</v>
      </c>
      <c r="F149" s="238">
        <v>79.64</v>
      </c>
      <c r="G149" s="238">
        <v>79.64</v>
      </c>
      <c r="H149" s="261"/>
      <c r="I149" s="243">
        <v>584.22</v>
      </c>
      <c r="J149" s="243">
        <v>584.22</v>
      </c>
      <c r="K149" s="243">
        <v>584.22</v>
      </c>
      <c r="L149" s="243">
        <v>504.58</v>
      </c>
      <c r="M149" s="243">
        <v>444.85</v>
      </c>
      <c r="N149" s="243">
        <v>504.58</v>
      </c>
      <c r="O149" s="243">
        <v>504.58</v>
      </c>
      <c r="P149" s="243">
        <v>504.58</v>
      </c>
      <c r="Q149" s="243">
        <v>504.58</v>
      </c>
      <c r="R149" s="243">
        <v>539.91999999999996</v>
      </c>
      <c r="S149" s="243">
        <v>539.91999999999996</v>
      </c>
      <c r="T149" s="243">
        <v>475.77</v>
      </c>
      <c r="U149" s="263">
        <f t="shared" si="86"/>
        <v>6276.02</v>
      </c>
      <c r="W149" s="264">
        <f t="shared" si="87"/>
        <v>7.3357609241587145</v>
      </c>
      <c r="X149" s="264">
        <f t="shared" si="88"/>
        <v>7.3357609241587145</v>
      </c>
      <c r="Y149" s="264">
        <f t="shared" si="89"/>
        <v>7.3357609241587145</v>
      </c>
      <c r="Z149" s="264">
        <f t="shared" si="90"/>
        <v>6.3357609241587136</v>
      </c>
      <c r="AA149" s="264">
        <f t="shared" si="91"/>
        <v>5.5857609241587145</v>
      </c>
      <c r="AB149" s="264">
        <f t="shared" si="92"/>
        <v>6.3357609241587136</v>
      </c>
      <c r="AC149" s="264">
        <f t="shared" si="93"/>
        <v>6.3357609241587136</v>
      </c>
      <c r="AD149" s="264">
        <f t="shared" si="94"/>
        <v>6.3357609241587136</v>
      </c>
      <c r="AE149" s="264">
        <f t="shared" si="95"/>
        <v>6.3357609241587136</v>
      </c>
      <c r="AF149" s="264">
        <f t="shared" si="96"/>
        <v>6.7795077850326466</v>
      </c>
      <c r="AG149" s="264">
        <f t="shared" si="97"/>
        <v>6.7795077850326466</v>
      </c>
      <c r="AH149" s="264">
        <f t="shared" si="98"/>
        <v>5.9740080361627319</v>
      </c>
      <c r="AI149" s="265">
        <f t="shared" si="99"/>
        <v>6.5670726603047038</v>
      </c>
      <c r="AJ149" s="266">
        <f t="shared" si="100"/>
        <v>78.804871923656449</v>
      </c>
      <c r="AL149" s="241">
        <v>1</v>
      </c>
      <c r="AM149" s="240">
        <f t="shared" si="101"/>
        <v>6.5670726603047038</v>
      </c>
      <c r="AN149" s="241">
        <v>0</v>
      </c>
      <c r="AO149" s="240">
        <f t="shared" si="102"/>
        <v>0</v>
      </c>
      <c r="AP149" s="241">
        <v>0</v>
      </c>
      <c r="AQ149" s="240">
        <f t="shared" si="103"/>
        <v>0</v>
      </c>
    </row>
    <row r="150" spans="1:44" s="253" customFormat="1" ht="12" customHeight="1" x14ac:dyDescent="0.2">
      <c r="A150" s="253" t="str">
        <f t="shared" si="104"/>
        <v>allrecyclingCRY901X2</v>
      </c>
      <c r="B150" s="241" t="str">
        <f t="shared" si="85"/>
        <v>ridgerecyclingCRY901X2</v>
      </c>
      <c r="C150" s="232" t="s">
        <v>494</v>
      </c>
      <c r="D150" s="232" t="s">
        <v>577</v>
      </c>
      <c r="E150" s="238">
        <v>89.34</v>
      </c>
      <c r="F150" s="238">
        <v>89.34</v>
      </c>
      <c r="G150" s="238">
        <v>89.34</v>
      </c>
      <c r="H150" s="261"/>
      <c r="I150" s="243">
        <v>178.68</v>
      </c>
      <c r="J150" s="243">
        <v>178.68</v>
      </c>
      <c r="K150" s="243">
        <v>178.68</v>
      </c>
      <c r="L150" s="243">
        <v>111.67</v>
      </c>
      <c r="M150" s="243">
        <v>89.34</v>
      </c>
      <c r="N150" s="243">
        <v>89.34</v>
      </c>
      <c r="O150" s="243">
        <v>89.34</v>
      </c>
      <c r="P150" s="243">
        <v>89.34</v>
      </c>
      <c r="Q150" s="243">
        <v>89.34</v>
      </c>
      <c r="R150" s="243">
        <v>95.95</v>
      </c>
      <c r="S150" s="243">
        <v>95.95</v>
      </c>
      <c r="T150" s="243">
        <v>95.95</v>
      </c>
      <c r="U150" s="263">
        <f t="shared" si="86"/>
        <v>1382.2600000000002</v>
      </c>
      <c r="W150" s="264">
        <f t="shared" si="87"/>
        <v>2</v>
      </c>
      <c r="X150" s="264">
        <f t="shared" si="88"/>
        <v>2</v>
      </c>
      <c r="Y150" s="264">
        <f t="shared" si="89"/>
        <v>2</v>
      </c>
      <c r="Z150" s="264">
        <f t="shared" si="90"/>
        <v>1.2499440340273114</v>
      </c>
      <c r="AA150" s="264">
        <f t="shared" si="91"/>
        <v>1</v>
      </c>
      <c r="AB150" s="264">
        <f t="shared" si="92"/>
        <v>1</v>
      </c>
      <c r="AC150" s="264">
        <f t="shared" si="93"/>
        <v>1</v>
      </c>
      <c r="AD150" s="264">
        <f t="shared" si="94"/>
        <v>1</v>
      </c>
      <c r="AE150" s="264">
        <f t="shared" si="95"/>
        <v>1</v>
      </c>
      <c r="AF150" s="264">
        <f t="shared" si="96"/>
        <v>1.0739870158943363</v>
      </c>
      <c r="AG150" s="264">
        <f t="shared" si="97"/>
        <v>1.0739870158943363</v>
      </c>
      <c r="AH150" s="264">
        <f t="shared" si="98"/>
        <v>1.0739870158943363</v>
      </c>
      <c r="AI150" s="265">
        <f t="shared" si="99"/>
        <v>1.2893254234758598</v>
      </c>
      <c r="AJ150" s="266">
        <f t="shared" si="100"/>
        <v>15.471905081710318</v>
      </c>
      <c r="AL150" s="241">
        <v>2</v>
      </c>
      <c r="AM150" s="240">
        <f t="shared" si="101"/>
        <v>2.5786508469517195</v>
      </c>
      <c r="AN150" s="241">
        <v>0</v>
      </c>
      <c r="AO150" s="240">
        <f t="shared" si="102"/>
        <v>0</v>
      </c>
      <c r="AP150" s="241">
        <v>0</v>
      </c>
      <c r="AQ150" s="240">
        <f t="shared" si="103"/>
        <v>0</v>
      </c>
    </row>
    <row r="151" spans="1:44" s="253" customFormat="1" ht="12" customHeight="1" x14ac:dyDescent="0.2">
      <c r="A151" s="253" t="str">
        <f>"all"&amp;"recycling"&amp;C151</f>
        <v>allrecyclingCRY901X3</v>
      </c>
      <c r="B151" s="241" t="str">
        <f t="shared" si="85"/>
        <v>ridgerecyclingCRY901X3</v>
      </c>
      <c r="C151" s="232" t="s">
        <v>493</v>
      </c>
      <c r="D151" s="232" t="s">
        <v>576</v>
      </c>
      <c r="E151" s="238">
        <v>108.99</v>
      </c>
      <c r="F151" s="238">
        <v>108.99</v>
      </c>
      <c r="G151" s="238">
        <v>108.99</v>
      </c>
      <c r="H151" s="261"/>
      <c r="I151" s="243">
        <v>108.99</v>
      </c>
      <c r="J151" s="243">
        <v>108.99</v>
      </c>
      <c r="K151" s="243">
        <v>108.99</v>
      </c>
      <c r="L151" s="243">
        <v>108.99</v>
      </c>
      <c r="M151" s="243">
        <v>108.99</v>
      </c>
      <c r="N151" s="243">
        <v>108.99</v>
      </c>
      <c r="O151" s="243">
        <v>108.99</v>
      </c>
      <c r="P151" s="243">
        <v>108.99</v>
      </c>
      <c r="Q151" s="243">
        <v>108.99</v>
      </c>
      <c r="R151" s="243">
        <v>117.06</v>
      </c>
      <c r="S151" s="243">
        <v>117.06</v>
      </c>
      <c r="T151" s="243">
        <v>117.06</v>
      </c>
      <c r="U151" s="263">
        <f>SUM(I151:T151)</f>
        <v>1332.09</v>
      </c>
      <c r="W151" s="264">
        <f t="shared" si="87"/>
        <v>1</v>
      </c>
      <c r="X151" s="264">
        <f t="shared" si="88"/>
        <v>1</v>
      </c>
      <c r="Y151" s="264">
        <f t="shared" si="89"/>
        <v>1</v>
      </c>
      <c r="Z151" s="264">
        <f t="shared" si="90"/>
        <v>1</v>
      </c>
      <c r="AA151" s="264">
        <f t="shared" si="91"/>
        <v>1</v>
      </c>
      <c r="AB151" s="264">
        <f t="shared" si="92"/>
        <v>1</v>
      </c>
      <c r="AC151" s="264">
        <f t="shared" si="93"/>
        <v>1</v>
      </c>
      <c r="AD151" s="264">
        <f t="shared" si="94"/>
        <v>1</v>
      </c>
      <c r="AE151" s="264">
        <f t="shared" si="95"/>
        <v>1</v>
      </c>
      <c r="AF151" s="264">
        <f t="shared" si="96"/>
        <v>1.0740434902284615</v>
      </c>
      <c r="AG151" s="264">
        <f t="shared" si="97"/>
        <v>1.0740434902284615</v>
      </c>
      <c r="AH151" s="264">
        <f t="shared" si="98"/>
        <v>1.0740434902284615</v>
      </c>
      <c r="AI151" s="265">
        <f t="shared" si="99"/>
        <v>1.0185108725571155</v>
      </c>
      <c r="AJ151" s="266">
        <f t="shared" si="100"/>
        <v>12.222130470685386</v>
      </c>
      <c r="AL151" s="241">
        <v>3</v>
      </c>
      <c r="AM151" s="240">
        <f t="shared" si="101"/>
        <v>3.0555326176713464</v>
      </c>
      <c r="AN151" s="241">
        <v>0</v>
      </c>
      <c r="AO151" s="240">
        <f t="shared" si="102"/>
        <v>0</v>
      </c>
      <c r="AP151" s="241">
        <v>0</v>
      </c>
      <c r="AQ151" s="240">
        <f t="shared" si="103"/>
        <v>0</v>
      </c>
    </row>
    <row r="152" spans="1:44" s="253" customFormat="1" ht="12" customHeight="1" x14ac:dyDescent="0.2">
      <c r="A152" s="253" t="str">
        <f>"all"&amp;"recycling"&amp;C152</f>
        <v>allrecyclingCRYGLASS1X</v>
      </c>
      <c r="B152" s="241" t="str">
        <f t="shared" si="85"/>
        <v>ridgerecyclingCRYGLASS1X</v>
      </c>
      <c r="C152" s="232" t="s">
        <v>497</v>
      </c>
      <c r="D152" s="232" t="s">
        <v>580</v>
      </c>
      <c r="E152" s="238">
        <v>27.2</v>
      </c>
      <c r="F152" s="238">
        <v>27.2</v>
      </c>
      <c r="G152" s="238">
        <v>27.2</v>
      </c>
      <c r="H152" s="261"/>
      <c r="I152" s="243">
        <v>108.8</v>
      </c>
      <c r="J152" s="243">
        <v>142.80000000000001</v>
      </c>
      <c r="K152" s="243">
        <v>163.19999999999999</v>
      </c>
      <c r="L152" s="243">
        <v>197.2</v>
      </c>
      <c r="M152" s="243">
        <v>217.6</v>
      </c>
      <c r="N152" s="243">
        <v>244.8</v>
      </c>
      <c r="O152" s="243">
        <v>244.8</v>
      </c>
      <c r="P152" s="243">
        <v>244.8</v>
      </c>
      <c r="Q152" s="243">
        <v>244.8</v>
      </c>
      <c r="R152" s="243">
        <v>262.89</v>
      </c>
      <c r="S152" s="243">
        <v>262.89</v>
      </c>
      <c r="T152" s="243">
        <v>262.89</v>
      </c>
      <c r="U152" s="263">
        <f>SUM(I152:T152)</f>
        <v>2597.4699999999998</v>
      </c>
      <c r="W152" s="264">
        <f t="shared" si="87"/>
        <v>4</v>
      </c>
      <c r="X152" s="264">
        <f t="shared" si="88"/>
        <v>5.2500000000000009</v>
      </c>
      <c r="Y152" s="264">
        <f t="shared" si="89"/>
        <v>6</v>
      </c>
      <c r="Z152" s="264">
        <f t="shared" si="90"/>
        <v>7.25</v>
      </c>
      <c r="AA152" s="264">
        <f t="shared" si="91"/>
        <v>8</v>
      </c>
      <c r="AB152" s="264">
        <f t="shared" si="92"/>
        <v>9</v>
      </c>
      <c r="AC152" s="264">
        <f t="shared" si="93"/>
        <v>9</v>
      </c>
      <c r="AD152" s="264">
        <f t="shared" si="94"/>
        <v>9</v>
      </c>
      <c r="AE152" s="264">
        <f t="shared" si="95"/>
        <v>9</v>
      </c>
      <c r="AF152" s="264">
        <f t="shared" si="96"/>
        <v>9.6650735294117638</v>
      </c>
      <c r="AG152" s="264">
        <f t="shared" si="97"/>
        <v>9.6650735294117638</v>
      </c>
      <c r="AH152" s="264">
        <f t="shared" si="98"/>
        <v>9.6650735294117638</v>
      </c>
      <c r="AI152" s="265">
        <f t="shared" si="99"/>
        <v>7.9579350490196061</v>
      </c>
      <c r="AJ152" s="266">
        <f t="shared" si="100"/>
        <v>95.49522058823527</v>
      </c>
      <c r="AL152" s="241">
        <v>1</v>
      </c>
      <c r="AM152" s="240">
        <f t="shared" si="101"/>
        <v>7.9579350490196061</v>
      </c>
      <c r="AN152" s="241">
        <v>0</v>
      </c>
      <c r="AO152" s="240">
        <f t="shared" si="102"/>
        <v>0</v>
      </c>
      <c r="AP152" s="241">
        <v>0</v>
      </c>
      <c r="AQ152" s="240">
        <f t="shared" si="103"/>
        <v>0</v>
      </c>
    </row>
    <row r="153" spans="1:44" s="253" customFormat="1" ht="12" customHeight="1" x14ac:dyDescent="0.2">
      <c r="A153" s="253" t="str">
        <f t="shared" si="104"/>
        <v>allrecyclingRCRY961X</v>
      </c>
      <c r="B153" s="241" t="str">
        <f t="shared" si="85"/>
        <v>ridgerecyclingRCRY961X</v>
      </c>
      <c r="C153" s="232" t="s">
        <v>710</v>
      </c>
      <c r="D153" s="232" t="s">
        <v>711</v>
      </c>
      <c r="E153" s="238">
        <v>79.64</v>
      </c>
      <c r="F153" s="238">
        <v>79.64</v>
      </c>
      <c r="G153" s="238">
        <v>79.64</v>
      </c>
      <c r="H153" s="261"/>
      <c r="I153" s="243">
        <v>70.040000000000006</v>
      </c>
      <c r="J153" s="243">
        <v>70.040000000000006</v>
      </c>
      <c r="K153" s="243">
        <v>70.040000000000006</v>
      </c>
      <c r="L153" s="243">
        <v>70.040000000000006</v>
      </c>
      <c r="M153" s="243">
        <v>70.040000000000006</v>
      </c>
      <c r="N153" s="243">
        <v>70.040000000000006</v>
      </c>
      <c r="O153" s="243">
        <v>70.040000000000006</v>
      </c>
      <c r="P153" s="243">
        <v>70.040000000000006</v>
      </c>
      <c r="Q153" s="243">
        <v>0</v>
      </c>
      <c r="R153" s="243">
        <v>0</v>
      </c>
      <c r="S153" s="243">
        <v>0</v>
      </c>
      <c r="T153" s="243">
        <v>0</v>
      </c>
      <c r="U153" s="263">
        <f t="shared" si="86"/>
        <v>560.32000000000005</v>
      </c>
      <c r="W153" s="264">
        <f t="shared" si="87"/>
        <v>0.8794575590155701</v>
      </c>
      <c r="X153" s="264">
        <f t="shared" si="88"/>
        <v>0.8794575590155701</v>
      </c>
      <c r="Y153" s="264">
        <f t="shared" si="89"/>
        <v>0.8794575590155701</v>
      </c>
      <c r="Z153" s="264">
        <f t="shared" si="90"/>
        <v>0.8794575590155701</v>
      </c>
      <c r="AA153" s="264">
        <f t="shared" si="91"/>
        <v>0.8794575590155701</v>
      </c>
      <c r="AB153" s="264">
        <f t="shared" si="92"/>
        <v>0.8794575590155701</v>
      </c>
      <c r="AC153" s="264">
        <f t="shared" si="93"/>
        <v>0.8794575590155701</v>
      </c>
      <c r="AD153" s="264">
        <f t="shared" si="94"/>
        <v>0.8794575590155701</v>
      </c>
      <c r="AE153" s="264">
        <f t="shared" si="95"/>
        <v>0</v>
      </c>
      <c r="AF153" s="264">
        <f t="shared" si="96"/>
        <v>0</v>
      </c>
      <c r="AG153" s="264">
        <f t="shared" si="97"/>
        <v>0</v>
      </c>
      <c r="AH153" s="264">
        <f t="shared" si="98"/>
        <v>0</v>
      </c>
      <c r="AI153" s="265">
        <f t="shared" si="99"/>
        <v>0.58630503934371336</v>
      </c>
      <c r="AJ153" s="266">
        <f t="shared" si="100"/>
        <v>7.0356604721245608</v>
      </c>
      <c r="AL153" s="241">
        <v>1</v>
      </c>
      <c r="AM153" s="240">
        <f t="shared" si="101"/>
        <v>0.58630503934371336</v>
      </c>
      <c r="AN153" s="241">
        <v>0</v>
      </c>
      <c r="AO153" s="240">
        <f t="shared" si="102"/>
        <v>0</v>
      </c>
      <c r="AP153" s="241">
        <v>0</v>
      </c>
      <c r="AQ153" s="240">
        <f t="shared" si="103"/>
        <v>0</v>
      </c>
    </row>
    <row r="154" spans="1:44" s="253" customFormat="1" ht="12" customHeight="1" x14ac:dyDescent="0.2">
      <c r="A154" s="253" t="str">
        <f>"food"&amp;"recycling"&amp;C154</f>
        <v>foodrecyclingCFR65G1X</v>
      </c>
      <c r="B154" s="241" t="str">
        <f t="shared" si="85"/>
        <v>ridgerecyclingCFR65G1X</v>
      </c>
      <c r="C154" s="232" t="s">
        <v>488</v>
      </c>
      <c r="D154" s="232" t="s">
        <v>571</v>
      </c>
      <c r="E154" s="238">
        <v>33.619999999999997</v>
      </c>
      <c r="F154" s="238">
        <v>33.619999999999997</v>
      </c>
      <c r="G154" s="238">
        <v>33.619999999999997</v>
      </c>
      <c r="H154" s="261"/>
      <c r="I154" s="243">
        <v>295.02</v>
      </c>
      <c r="J154" s="243">
        <v>295.02</v>
      </c>
      <c r="K154" s="243">
        <v>295.02</v>
      </c>
      <c r="L154" s="243">
        <v>295.02</v>
      </c>
      <c r="M154" s="243">
        <v>332.92</v>
      </c>
      <c r="N154" s="243">
        <v>332.92</v>
      </c>
      <c r="O154" s="243">
        <v>332.92</v>
      </c>
      <c r="P154" s="243">
        <v>332.92</v>
      </c>
      <c r="Q154" s="243">
        <v>332.92</v>
      </c>
      <c r="R154" s="243">
        <v>332.92</v>
      </c>
      <c r="S154" s="243">
        <v>332.92</v>
      </c>
      <c r="T154" s="243">
        <v>332.92</v>
      </c>
      <c r="U154" s="263">
        <f t="shared" si="86"/>
        <v>3843.4400000000005</v>
      </c>
      <c r="W154" s="264">
        <f t="shared" si="87"/>
        <v>8.7751338488994648</v>
      </c>
      <c r="X154" s="264">
        <f t="shared" si="88"/>
        <v>8.7751338488994648</v>
      </c>
      <c r="Y154" s="264">
        <f t="shared" si="89"/>
        <v>8.7751338488994648</v>
      </c>
      <c r="Z154" s="264">
        <f t="shared" si="90"/>
        <v>8.7751338488994648</v>
      </c>
      <c r="AA154" s="264">
        <f t="shared" si="91"/>
        <v>9.9024390243902456</v>
      </c>
      <c r="AB154" s="264">
        <f t="shared" si="92"/>
        <v>9.9024390243902456</v>
      </c>
      <c r="AC154" s="264">
        <f t="shared" si="93"/>
        <v>9.9024390243902456</v>
      </c>
      <c r="AD154" s="264">
        <f t="shared" si="94"/>
        <v>9.9024390243902456</v>
      </c>
      <c r="AE154" s="264">
        <f t="shared" si="95"/>
        <v>9.9024390243902456</v>
      </c>
      <c r="AF154" s="264">
        <f t="shared" si="96"/>
        <v>9.9024390243902456</v>
      </c>
      <c r="AG154" s="264">
        <f t="shared" si="97"/>
        <v>9.9024390243902456</v>
      </c>
      <c r="AH154" s="264">
        <f t="shared" si="98"/>
        <v>9.9024390243902456</v>
      </c>
      <c r="AI154" s="265">
        <f t="shared" si="99"/>
        <v>9.5266706325599859</v>
      </c>
      <c r="AJ154" s="266">
        <f t="shared" si="100"/>
        <v>114.32004759071984</v>
      </c>
      <c r="AL154" s="241">
        <v>1</v>
      </c>
      <c r="AM154" s="240">
        <f t="shared" si="101"/>
        <v>9.5266706325599859</v>
      </c>
      <c r="AN154" s="241">
        <v>0</v>
      </c>
      <c r="AO154" s="240">
        <f t="shared" si="102"/>
        <v>0</v>
      </c>
      <c r="AP154" s="241">
        <v>0</v>
      </c>
      <c r="AQ154" s="240">
        <f t="shared" si="103"/>
        <v>0</v>
      </c>
    </row>
    <row r="155" spans="1:44" s="253" customFormat="1" ht="12" customHeight="1" x14ac:dyDescent="0.2">
      <c r="A155" s="253" t="str">
        <f>"Schools"&amp;"recycling"&amp;C155</f>
        <v>SchoolsrecyclingCOMREC</v>
      </c>
      <c r="B155" s="241" t="str">
        <f t="shared" si="85"/>
        <v>ridgerecyclingCOMREC</v>
      </c>
      <c r="C155" s="232" t="s">
        <v>525</v>
      </c>
      <c r="D155" s="232" t="s">
        <v>605</v>
      </c>
      <c r="E155" s="238">
        <v>63.65</v>
      </c>
      <c r="F155" s="238">
        <v>63.65</v>
      </c>
      <c r="G155" s="238">
        <v>63.65</v>
      </c>
      <c r="H155" s="261"/>
      <c r="I155" s="243">
        <v>662.02</v>
      </c>
      <c r="J155" s="243">
        <v>662.02</v>
      </c>
      <c r="K155" s="243">
        <v>662.02</v>
      </c>
      <c r="L155" s="243">
        <v>662.02</v>
      </c>
      <c r="M155" s="243">
        <v>662.02</v>
      </c>
      <c r="N155" s="243">
        <v>662.02</v>
      </c>
      <c r="O155" s="243">
        <v>662.02</v>
      </c>
      <c r="P155" s="243">
        <v>662.02</v>
      </c>
      <c r="Q155" s="243">
        <v>662.02</v>
      </c>
      <c r="R155" s="243">
        <v>662.02</v>
      </c>
      <c r="S155" s="243">
        <v>662.02</v>
      </c>
      <c r="T155" s="243">
        <v>662.02</v>
      </c>
      <c r="U155" s="263">
        <f>SUM(I155:T155)</f>
        <v>7944.2400000000016</v>
      </c>
      <c r="W155" s="264">
        <f t="shared" si="87"/>
        <v>10.400942655145325</v>
      </c>
      <c r="X155" s="264">
        <f t="shared" si="88"/>
        <v>10.400942655145325</v>
      </c>
      <c r="Y155" s="264">
        <f t="shared" si="89"/>
        <v>10.400942655145325</v>
      </c>
      <c r="Z155" s="264">
        <f t="shared" si="90"/>
        <v>10.400942655145325</v>
      </c>
      <c r="AA155" s="264">
        <f t="shared" si="91"/>
        <v>10.400942655145325</v>
      </c>
      <c r="AB155" s="264">
        <f t="shared" si="92"/>
        <v>10.400942655145325</v>
      </c>
      <c r="AC155" s="264">
        <f t="shared" si="93"/>
        <v>10.400942655145325</v>
      </c>
      <c r="AD155" s="264">
        <f t="shared" si="94"/>
        <v>10.400942655145325</v>
      </c>
      <c r="AE155" s="264">
        <f t="shared" si="95"/>
        <v>10.400942655145325</v>
      </c>
      <c r="AF155" s="264">
        <f t="shared" si="96"/>
        <v>10.400942655145325</v>
      </c>
      <c r="AG155" s="264">
        <f t="shared" si="97"/>
        <v>10.400942655145325</v>
      </c>
      <c r="AH155" s="264">
        <f t="shared" si="98"/>
        <v>10.400942655145325</v>
      </c>
      <c r="AI155" s="265">
        <f t="shared" si="99"/>
        <v>10.400942655145327</v>
      </c>
      <c r="AJ155" s="266">
        <f t="shared" si="100"/>
        <v>124.81131186174393</v>
      </c>
      <c r="AL155" s="269"/>
      <c r="AM155" s="269"/>
      <c r="AN155" s="269"/>
      <c r="AO155" s="269"/>
      <c r="AP155" s="269"/>
      <c r="AQ155" s="269"/>
      <c r="AR155" s="270" t="s">
        <v>1357</v>
      </c>
    </row>
    <row r="156" spans="1:44" ht="12" customHeight="1" x14ac:dyDescent="0.2">
      <c r="A156" s="45" t="str">
        <f t="shared" si="104"/>
        <v>allrecyclingCRYEX3YD</v>
      </c>
      <c r="B156" s="1" t="str">
        <f t="shared" si="85"/>
        <v>ridgerecyclingCRYEX3YD</v>
      </c>
      <c r="C156" s="58" t="s">
        <v>531</v>
      </c>
      <c r="D156" s="58" t="s">
        <v>611</v>
      </c>
      <c r="E156" s="11">
        <v>34.76</v>
      </c>
      <c r="F156" s="11">
        <v>34.76</v>
      </c>
      <c r="G156" s="11">
        <v>34.76</v>
      </c>
      <c r="H156" s="43"/>
      <c r="I156" s="14">
        <v>0</v>
      </c>
      <c r="J156" s="14">
        <v>0</v>
      </c>
      <c r="K156" s="14">
        <v>0</v>
      </c>
      <c r="L156" s="14">
        <v>76.48</v>
      </c>
      <c r="M156" s="14">
        <v>0</v>
      </c>
      <c r="N156" s="14">
        <v>0</v>
      </c>
      <c r="O156" s="14">
        <v>0</v>
      </c>
      <c r="P156" s="14">
        <v>0</v>
      </c>
      <c r="Q156" s="14">
        <v>0</v>
      </c>
      <c r="R156" s="14">
        <v>0</v>
      </c>
      <c r="S156" s="14">
        <v>0</v>
      </c>
      <c r="T156" s="14">
        <v>0</v>
      </c>
      <c r="U156" s="73">
        <f t="shared" si="86"/>
        <v>76.48</v>
      </c>
      <c r="W156" s="48">
        <f t="shared" si="87"/>
        <v>0</v>
      </c>
      <c r="X156" s="48">
        <f t="shared" si="88"/>
        <v>0</v>
      </c>
      <c r="Y156" s="48">
        <f t="shared" si="89"/>
        <v>0</v>
      </c>
      <c r="Z156" s="48">
        <f t="shared" si="90"/>
        <v>2.2002301495972385</v>
      </c>
      <c r="AA156" s="48">
        <f t="shared" si="91"/>
        <v>0</v>
      </c>
      <c r="AB156" s="48">
        <f t="shared" si="92"/>
        <v>0</v>
      </c>
      <c r="AC156" s="48">
        <f t="shared" si="93"/>
        <v>0</v>
      </c>
      <c r="AD156" s="48">
        <f t="shared" si="94"/>
        <v>0</v>
      </c>
      <c r="AE156" s="48">
        <f t="shared" si="95"/>
        <v>0</v>
      </c>
      <c r="AF156" s="48">
        <f t="shared" si="96"/>
        <v>0</v>
      </c>
      <c r="AG156" s="48">
        <f t="shared" si="97"/>
        <v>0</v>
      </c>
      <c r="AH156" s="48">
        <f t="shared" si="98"/>
        <v>0</v>
      </c>
      <c r="AI156" s="47">
        <f t="shared" si="99"/>
        <v>0.18335251246643655</v>
      </c>
      <c r="AJ156" s="134">
        <f t="shared" si="100"/>
        <v>2.2002301495972385</v>
      </c>
    </row>
    <row r="157" spans="1:44" ht="12" customHeight="1" x14ac:dyDescent="0.2">
      <c r="A157" s="45" t="str">
        <f>"all"&amp;"recycling"&amp;C157</f>
        <v>allrecyclingCRYEX4YD</v>
      </c>
      <c r="B157" s="1" t="str">
        <f t="shared" si="85"/>
        <v>ridgerecyclingCRYEX4YD</v>
      </c>
      <c r="C157" s="58" t="s">
        <v>532</v>
      </c>
      <c r="D157" s="58" t="s">
        <v>612</v>
      </c>
      <c r="E157" s="11">
        <v>35.450000000000003</v>
      </c>
      <c r="F157" s="11">
        <v>35.450000000000003</v>
      </c>
      <c r="G157" s="11">
        <v>35.450000000000003</v>
      </c>
      <c r="H157" s="43"/>
      <c r="I157" s="14">
        <v>0</v>
      </c>
      <c r="J157" s="14">
        <v>35.450000000000003</v>
      </c>
      <c r="K157" s="14">
        <v>0</v>
      </c>
      <c r="L157" s="14">
        <v>0</v>
      </c>
      <c r="M157" s="14">
        <v>0</v>
      </c>
      <c r="N157" s="14">
        <v>0</v>
      </c>
      <c r="O157" s="14">
        <v>35.450000000000003</v>
      </c>
      <c r="P157" s="14">
        <v>70.900000000000006</v>
      </c>
      <c r="Q157" s="14">
        <v>0</v>
      </c>
      <c r="R157" s="14">
        <v>0</v>
      </c>
      <c r="S157" s="14">
        <v>0</v>
      </c>
      <c r="T157" s="14">
        <v>0</v>
      </c>
      <c r="U157" s="73">
        <f t="shared" si="86"/>
        <v>141.80000000000001</v>
      </c>
      <c r="W157" s="48">
        <f t="shared" si="87"/>
        <v>0</v>
      </c>
      <c r="X157" s="48">
        <f t="shared" si="88"/>
        <v>1</v>
      </c>
      <c r="Y157" s="48">
        <f t="shared" si="89"/>
        <v>0</v>
      </c>
      <c r="Z157" s="48">
        <f t="shared" si="90"/>
        <v>0</v>
      </c>
      <c r="AA157" s="48">
        <f t="shared" si="91"/>
        <v>0</v>
      </c>
      <c r="AB157" s="48">
        <f t="shared" si="92"/>
        <v>0</v>
      </c>
      <c r="AC157" s="48">
        <f t="shared" si="93"/>
        <v>1</v>
      </c>
      <c r="AD157" s="48">
        <f t="shared" si="94"/>
        <v>2</v>
      </c>
      <c r="AE157" s="48">
        <f t="shared" si="95"/>
        <v>0</v>
      </c>
      <c r="AF157" s="48">
        <f t="shared" si="96"/>
        <v>0</v>
      </c>
      <c r="AG157" s="48">
        <f t="shared" si="97"/>
        <v>0</v>
      </c>
      <c r="AH157" s="48">
        <f t="shared" si="98"/>
        <v>0</v>
      </c>
      <c r="AI157" s="47">
        <f t="shared" si="99"/>
        <v>0.33333333333333331</v>
      </c>
      <c r="AJ157" s="134">
        <f t="shared" si="100"/>
        <v>4</v>
      </c>
    </row>
    <row r="158" spans="1:44" ht="12" customHeight="1" x14ac:dyDescent="0.2">
      <c r="A158" s="45" t="str">
        <f>"all"&amp;"recycling"&amp;C158</f>
        <v>allrecyclingCRYEX90</v>
      </c>
      <c r="B158" s="1" t="str">
        <f t="shared" si="85"/>
        <v>ridgerecyclingCRYEX90</v>
      </c>
      <c r="C158" s="58" t="s">
        <v>527</v>
      </c>
      <c r="D158" s="58" t="s">
        <v>607</v>
      </c>
      <c r="E158" s="11">
        <v>21.27</v>
      </c>
      <c r="F158" s="11">
        <v>21.27</v>
      </c>
      <c r="G158" s="11">
        <v>21.27</v>
      </c>
      <c r="H158" s="43"/>
      <c r="I158" s="14">
        <v>0</v>
      </c>
      <c r="J158" s="14">
        <v>21.27</v>
      </c>
      <c r="K158" s="14">
        <v>0</v>
      </c>
      <c r="L158" s="14">
        <v>0</v>
      </c>
      <c r="M158" s="14">
        <v>0</v>
      </c>
      <c r="N158" s="14">
        <v>0</v>
      </c>
      <c r="O158" s="14">
        <v>0</v>
      </c>
      <c r="P158" s="14">
        <v>0</v>
      </c>
      <c r="Q158" s="14">
        <v>0</v>
      </c>
      <c r="R158" s="14">
        <v>0</v>
      </c>
      <c r="S158" s="14">
        <v>0</v>
      </c>
      <c r="T158" s="14">
        <v>22.84</v>
      </c>
      <c r="U158" s="73">
        <f>SUM(I158:T158)</f>
        <v>44.11</v>
      </c>
      <c r="W158" s="48">
        <f t="shared" si="87"/>
        <v>0</v>
      </c>
      <c r="X158" s="48">
        <f t="shared" si="88"/>
        <v>1</v>
      </c>
      <c r="Y158" s="48">
        <f t="shared" si="89"/>
        <v>0</v>
      </c>
      <c r="Z158" s="48">
        <f t="shared" si="90"/>
        <v>0</v>
      </c>
      <c r="AA158" s="48">
        <f t="shared" si="91"/>
        <v>0</v>
      </c>
      <c r="AB158" s="48">
        <f t="shared" si="92"/>
        <v>0</v>
      </c>
      <c r="AC158" s="48">
        <f t="shared" si="93"/>
        <v>0</v>
      </c>
      <c r="AD158" s="48">
        <f t="shared" si="94"/>
        <v>0</v>
      </c>
      <c r="AE158" s="48">
        <f t="shared" si="95"/>
        <v>0</v>
      </c>
      <c r="AF158" s="48">
        <f t="shared" si="96"/>
        <v>0</v>
      </c>
      <c r="AG158" s="48">
        <f t="shared" si="97"/>
        <v>0</v>
      </c>
      <c r="AH158" s="48">
        <f t="shared" si="98"/>
        <v>1.0738128819934181</v>
      </c>
      <c r="AI158" s="47">
        <f>+IFERROR(AVERAGE(W158:AH158),0)</f>
        <v>0.17281774016611817</v>
      </c>
      <c r="AJ158" s="134">
        <f>SUM(W158:AH158)</f>
        <v>2.0738128819934181</v>
      </c>
    </row>
    <row r="159" spans="1:44" ht="12" customHeight="1" x14ac:dyDescent="0.2">
      <c r="A159" s="45" t="str">
        <f t="shared" si="104"/>
        <v>allrecycling0CRYEX90</v>
      </c>
      <c r="B159" s="1" t="str">
        <f t="shared" si="85"/>
        <v>ridgerecycling0CRYEX90</v>
      </c>
      <c r="C159" s="58" t="s">
        <v>500</v>
      </c>
      <c r="D159" s="58" t="s">
        <v>582</v>
      </c>
      <c r="E159" s="11">
        <v>21.27</v>
      </c>
      <c r="F159" s="11">
        <v>21.27</v>
      </c>
      <c r="G159" s="11">
        <v>21.27</v>
      </c>
      <c r="H159" s="43"/>
      <c r="I159" s="14">
        <v>0</v>
      </c>
      <c r="J159" s="14">
        <v>0</v>
      </c>
      <c r="K159" s="14">
        <v>0</v>
      </c>
      <c r="L159" s="14">
        <v>0</v>
      </c>
      <c r="M159" s="14">
        <v>21.27</v>
      </c>
      <c r="N159" s="14">
        <v>0</v>
      </c>
      <c r="O159" s="14">
        <v>0</v>
      </c>
      <c r="P159" s="14">
        <v>0</v>
      </c>
      <c r="Q159" s="14">
        <v>0</v>
      </c>
      <c r="R159" s="14">
        <v>0</v>
      </c>
      <c r="S159" s="14">
        <v>0</v>
      </c>
      <c r="T159" s="14">
        <v>0</v>
      </c>
      <c r="U159" s="73">
        <f t="shared" si="86"/>
        <v>21.27</v>
      </c>
      <c r="W159" s="48">
        <f t="shared" si="87"/>
        <v>0</v>
      </c>
      <c r="X159" s="48">
        <f t="shared" si="88"/>
        <v>0</v>
      </c>
      <c r="Y159" s="48">
        <f t="shared" si="89"/>
        <v>0</v>
      </c>
      <c r="Z159" s="48">
        <f t="shared" si="90"/>
        <v>0</v>
      </c>
      <c r="AA159" s="48">
        <f t="shared" si="91"/>
        <v>1</v>
      </c>
      <c r="AB159" s="48">
        <f t="shared" si="92"/>
        <v>0</v>
      </c>
      <c r="AC159" s="48">
        <f t="shared" si="93"/>
        <v>0</v>
      </c>
      <c r="AD159" s="48">
        <f t="shared" si="94"/>
        <v>0</v>
      </c>
      <c r="AE159" s="48">
        <f t="shared" si="95"/>
        <v>0</v>
      </c>
      <c r="AF159" s="48">
        <f t="shared" si="96"/>
        <v>0</v>
      </c>
      <c r="AG159" s="48">
        <f t="shared" si="97"/>
        <v>0</v>
      </c>
      <c r="AH159" s="48">
        <f t="shared" si="98"/>
        <v>0</v>
      </c>
      <c r="AI159" s="47">
        <f t="shared" si="99"/>
        <v>8.3333333333333329E-2</v>
      </c>
      <c r="AJ159" s="134">
        <f t="shared" si="100"/>
        <v>1</v>
      </c>
    </row>
    <row r="160" spans="1:44" ht="12" customHeight="1" x14ac:dyDescent="0.2">
      <c r="A160" s="45" t="str">
        <f>"all"&amp;"recycling"&amp;C160</f>
        <v>allrecycling0CRYEX2YD</v>
      </c>
      <c r="B160" s="1" t="str">
        <f t="shared" si="85"/>
        <v>ridgerecycling0CRYEX2YD</v>
      </c>
      <c r="C160" s="58" t="s">
        <v>502</v>
      </c>
      <c r="D160" s="58" t="s">
        <v>584</v>
      </c>
      <c r="E160" s="11">
        <v>31.2</v>
      </c>
      <c r="F160" s="11">
        <v>31.2</v>
      </c>
      <c r="G160" s="11">
        <v>31.2</v>
      </c>
      <c r="H160" s="43"/>
      <c r="I160" s="14">
        <v>0</v>
      </c>
      <c r="J160" s="14">
        <v>0</v>
      </c>
      <c r="K160" s="14">
        <v>0</v>
      </c>
      <c r="L160" s="14">
        <v>0</v>
      </c>
      <c r="M160" s="14">
        <v>0</v>
      </c>
      <c r="N160" s="14">
        <v>0</v>
      </c>
      <c r="O160" s="14">
        <v>0</v>
      </c>
      <c r="P160" s="14">
        <v>0</v>
      </c>
      <c r="Q160" s="14">
        <v>31.2</v>
      </c>
      <c r="R160" s="14">
        <v>0</v>
      </c>
      <c r="S160" s="14">
        <v>0</v>
      </c>
      <c r="T160" s="14">
        <v>0</v>
      </c>
      <c r="U160" s="73">
        <f>SUM(I160:T160)</f>
        <v>31.2</v>
      </c>
      <c r="W160" s="48">
        <f t="shared" si="87"/>
        <v>0</v>
      </c>
      <c r="X160" s="48">
        <f t="shared" si="88"/>
        <v>0</v>
      </c>
      <c r="Y160" s="48">
        <f t="shared" si="89"/>
        <v>0</v>
      </c>
      <c r="Z160" s="48">
        <f t="shared" si="90"/>
        <v>0</v>
      </c>
      <c r="AA160" s="48">
        <f t="shared" si="91"/>
        <v>0</v>
      </c>
      <c r="AB160" s="48">
        <f t="shared" si="92"/>
        <v>0</v>
      </c>
      <c r="AC160" s="48">
        <f t="shared" si="93"/>
        <v>0</v>
      </c>
      <c r="AD160" s="48">
        <f t="shared" si="94"/>
        <v>0</v>
      </c>
      <c r="AE160" s="48">
        <f t="shared" si="95"/>
        <v>1</v>
      </c>
      <c r="AF160" s="48">
        <f t="shared" si="96"/>
        <v>0</v>
      </c>
      <c r="AG160" s="48">
        <f t="shared" si="97"/>
        <v>0</v>
      </c>
      <c r="AH160" s="48">
        <f t="shared" si="98"/>
        <v>0</v>
      </c>
      <c r="AI160" s="47">
        <f>+IFERROR(AVERAGE(W160:AH160),0)</f>
        <v>8.3333333333333329E-2</v>
      </c>
      <c r="AJ160" s="134">
        <f>SUM(W160:AH160)</f>
        <v>1</v>
      </c>
    </row>
    <row r="161" spans="1:36" ht="12" customHeight="1" x14ac:dyDescent="0.2">
      <c r="A161" s="45" t="str">
        <f>"all"&amp;"recycling"&amp;C161</f>
        <v>allrecycling0CRYEX3YD</v>
      </c>
      <c r="B161" s="1" t="str">
        <f t="shared" si="85"/>
        <v>ridgerecycling0CRYEX3YD</v>
      </c>
      <c r="C161" s="58" t="s">
        <v>503</v>
      </c>
      <c r="D161" s="58" t="s">
        <v>585</v>
      </c>
      <c r="E161" s="11">
        <v>34.76</v>
      </c>
      <c r="F161" s="11">
        <v>34.76</v>
      </c>
      <c r="G161" s="11">
        <v>34.76</v>
      </c>
      <c r="H161" s="43"/>
      <c r="I161" s="14">
        <v>0</v>
      </c>
      <c r="J161" s="14">
        <v>0</v>
      </c>
      <c r="K161" s="14">
        <v>0</v>
      </c>
      <c r="L161" s="14">
        <v>0</v>
      </c>
      <c r="M161" s="14">
        <v>0</v>
      </c>
      <c r="N161" s="14">
        <v>34.76</v>
      </c>
      <c r="O161" s="14">
        <v>0</v>
      </c>
      <c r="P161" s="14">
        <v>34.76</v>
      </c>
      <c r="Q161" s="14">
        <v>0</v>
      </c>
      <c r="R161" s="14">
        <v>0</v>
      </c>
      <c r="S161" s="14">
        <v>0</v>
      </c>
      <c r="T161" s="14">
        <v>0</v>
      </c>
      <c r="U161" s="73">
        <f>SUM(I161:T161)</f>
        <v>69.52</v>
      </c>
      <c r="W161" s="48">
        <f t="shared" si="87"/>
        <v>0</v>
      </c>
      <c r="X161" s="48">
        <f t="shared" si="88"/>
        <v>0</v>
      </c>
      <c r="Y161" s="48">
        <f t="shared" si="89"/>
        <v>0</v>
      </c>
      <c r="Z161" s="48">
        <f t="shared" si="90"/>
        <v>0</v>
      </c>
      <c r="AA161" s="48">
        <f t="shared" si="91"/>
        <v>0</v>
      </c>
      <c r="AB161" s="48">
        <f t="shared" si="92"/>
        <v>1</v>
      </c>
      <c r="AC161" s="48">
        <f t="shared" si="93"/>
        <v>0</v>
      </c>
      <c r="AD161" s="48">
        <f t="shared" si="94"/>
        <v>1</v>
      </c>
      <c r="AE161" s="48">
        <f t="shared" si="95"/>
        <v>0</v>
      </c>
      <c r="AF161" s="48">
        <f t="shared" si="96"/>
        <v>0</v>
      </c>
      <c r="AG161" s="48">
        <f t="shared" si="97"/>
        <v>0</v>
      </c>
      <c r="AH161" s="48">
        <f t="shared" si="98"/>
        <v>0</v>
      </c>
      <c r="AI161" s="47">
        <f>+IFERROR(AVERAGE(W161:AH161),0)</f>
        <v>0.16666666666666666</v>
      </c>
      <c r="AJ161" s="134">
        <f>SUM(W161:AH161)</f>
        <v>2</v>
      </c>
    </row>
    <row r="162" spans="1:36" ht="12" customHeight="1" x14ac:dyDescent="0.2">
      <c r="A162" s="45" t="str">
        <f t="shared" si="104"/>
        <v>allrecycling0CRYEX4YD</v>
      </c>
      <c r="B162" s="1" t="str">
        <f t="shared" si="85"/>
        <v>ridgerecycling0CRYEX4YD</v>
      </c>
      <c r="C162" s="58" t="s">
        <v>504</v>
      </c>
      <c r="D162" s="58" t="s">
        <v>586</v>
      </c>
      <c r="E162" s="11">
        <v>35.450000000000003</v>
      </c>
      <c r="F162" s="11">
        <v>35.450000000000003</v>
      </c>
      <c r="G162" s="11">
        <v>35.450000000000003</v>
      </c>
      <c r="H162" s="43"/>
      <c r="I162" s="14">
        <v>0</v>
      </c>
      <c r="J162" s="14">
        <v>67.2</v>
      </c>
      <c r="K162" s="14">
        <v>67.2</v>
      </c>
      <c r="L162" s="14">
        <v>31.75</v>
      </c>
      <c r="M162" s="14">
        <v>67.2</v>
      </c>
      <c r="N162" s="14">
        <v>35.450000000000003</v>
      </c>
      <c r="O162" s="14">
        <v>35.450000000000003</v>
      </c>
      <c r="P162" s="14">
        <v>70.900000000000006</v>
      </c>
      <c r="Q162" s="14">
        <v>35.450000000000003</v>
      </c>
      <c r="R162" s="14">
        <v>38.07</v>
      </c>
      <c r="S162" s="14">
        <v>0</v>
      </c>
      <c r="T162" s="14">
        <v>38.07</v>
      </c>
      <c r="U162" s="73">
        <f>SUM(I162:T162)</f>
        <v>486.73999999999995</v>
      </c>
      <c r="W162" s="48">
        <f t="shared" si="87"/>
        <v>0</v>
      </c>
      <c r="X162" s="48">
        <f t="shared" si="88"/>
        <v>1.8956276445698166</v>
      </c>
      <c r="Y162" s="48">
        <f t="shared" si="89"/>
        <v>1.8956276445698166</v>
      </c>
      <c r="Z162" s="48">
        <f t="shared" si="90"/>
        <v>0.89562764456981658</v>
      </c>
      <c r="AA162" s="48">
        <f t="shared" si="91"/>
        <v>1.8956276445698166</v>
      </c>
      <c r="AB162" s="48">
        <f t="shared" si="92"/>
        <v>1</v>
      </c>
      <c r="AC162" s="48">
        <f t="shared" si="93"/>
        <v>1</v>
      </c>
      <c r="AD162" s="48">
        <f t="shared" si="94"/>
        <v>2</v>
      </c>
      <c r="AE162" s="48">
        <f t="shared" si="95"/>
        <v>1</v>
      </c>
      <c r="AF162" s="48">
        <f t="shared" si="96"/>
        <v>1.0739069111424542</v>
      </c>
      <c r="AG162" s="48">
        <f t="shared" si="97"/>
        <v>0</v>
      </c>
      <c r="AH162" s="48">
        <f t="shared" si="98"/>
        <v>1.0739069111424542</v>
      </c>
      <c r="AI162" s="47">
        <f t="shared" si="99"/>
        <v>1.1441937000470146</v>
      </c>
      <c r="AJ162" s="134">
        <f t="shared" si="100"/>
        <v>13.730324400564175</v>
      </c>
    </row>
    <row r="163" spans="1:36" ht="12" customHeight="1" x14ac:dyDescent="0.2">
      <c r="A163" s="45" t="str">
        <f>"all"&amp;"recycling"&amp;C163</f>
        <v>allrecyclingCRY3YOC</v>
      </c>
      <c r="B163" s="1" t="str">
        <f t="shared" si="85"/>
        <v>ridgerecyclingCRY3YOC</v>
      </c>
      <c r="C163" s="58" t="s">
        <v>510</v>
      </c>
      <c r="D163" s="58" t="s">
        <v>592</v>
      </c>
      <c r="E163" s="11">
        <v>39.159999999999997</v>
      </c>
      <c r="F163" s="11">
        <v>39.159999999999997</v>
      </c>
      <c r="G163" s="11">
        <v>39.159999999999997</v>
      </c>
      <c r="H163" s="43"/>
      <c r="I163" s="14">
        <v>0</v>
      </c>
      <c r="J163" s="14">
        <v>0</v>
      </c>
      <c r="K163" s="14">
        <v>0</v>
      </c>
      <c r="L163" s="14">
        <v>16.96</v>
      </c>
      <c r="M163" s="14">
        <v>39.159999999999997</v>
      </c>
      <c r="N163" s="14">
        <v>39.159999999999997</v>
      </c>
      <c r="O163" s="14">
        <v>39.159999999999997</v>
      </c>
      <c r="P163" s="14">
        <v>39.159999999999997</v>
      </c>
      <c r="Q163" s="14">
        <v>0</v>
      </c>
      <c r="R163" s="14">
        <v>0</v>
      </c>
      <c r="S163" s="14">
        <v>0</v>
      </c>
      <c r="T163" s="14">
        <v>0</v>
      </c>
      <c r="U163" s="73">
        <f>SUM(I163:T163)</f>
        <v>173.6</v>
      </c>
      <c r="W163" s="48">
        <f t="shared" si="87"/>
        <v>0</v>
      </c>
      <c r="X163" s="48">
        <f t="shared" si="88"/>
        <v>0</v>
      </c>
      <c r="Y163" s="48">
        <f t="shared" si="89"/>
        <v>0</v>
      </c>
      <c r="Z163" s="48">
        <f t="shared" si="90"/>
        <v>0.43309499489274778</v>
      </c>
      <c r="AA163" s="48">
        <f t="shared" si="91"/>
        <v>1</v>
      </c>
      <c r="AB163" s="48">
        <f t="shared" si="92"/>
        <v>1</v>
      </c>
      <c r="AC163" s="48">
        <f t="shared" si="93"/>
        <v>1</v>
      </c>
      <c r="AD163" s="48">
        <f t="shared" si="94"/>
        <v>1</v>
      </c>
      <c r="AE163" s="48">
        <f t="shared" si="95"/>
        <v>0</v>
      </c>
      <c r="AF163" s="48">
        <f t="shared" si="96"/>
        <v>0</v>
      </c>
      <c r="AG163" s="48">
        <f t="shared" si="97"/>
        <v>0</v>
      </c>
      <c r="AH163" s="48">
        <f t="shared" si="98"/>
        <v>0</v>
      </c>
      <c r="AI163" s="47">
        <f>+IFERROR(AVERAGE(W163:AH163),0)</f>
        <v>0.369424582907729</v>
      </c>
      <c r="AJ163" s="134">
        <f>SUM(W163:AH163)</f>
        <v>4.4330949948927483</v>
      </c>
    </row>
    <row r="164" spans="1:36" ht="12" customHeight="1" x14ac:dyDescent="0.2">
      <c r="A164" s="45" t="str">
        <f t="shared" si="104"/>
        <v>allrecyclingCRY4YOC</v>
      </c>
      <c r="B164" s="1" t="str">
        <f t="shared" si="85"/>
        <v>ridgerecyclingCRY4YOC</v>
      </c>
      <c r="C164" s="58" t="s">
        <v>511</v>
      </c>
      <c r="D164" s="58" t="s">
        <v>593</v>
      </c>
      <c r="E164" s="11">
        <v>46.49</v>
      </c>
      <c r="F164" s="11">
        <v>46.49</v>
      </c>
      <c r="G164" s="11">
        <v>46.49</v>
      </c>
      <c r="H164" s="43"/>
      <c r="I164" s="14">
        <v>92.98</v>
      </c>
      <c r="J164" s="14">
        <v>92.98</v>
      </c>
      <c r="K164" s="14">
        <v>92.98</v>
      </c>
      <c r="L164" s="14">
        <v>92.98</v>
      </c>
      <c r="M164" s="14">
        <v>92.98</v>
      </c>
      <c r="N164" s="14">
        <v>92.98</v>
      </c>
      <c r="O164" s="14">
        <v>92.98</v>
      </c>
      <c r="P164" s="14">
        <v>92.98</v>
      </c>
      <c r="Q164" s="14">
        <v>92.98</v>
      </c>
      <c r="R164" s="14">
        <v>99.86</v>
      </c>
      <c r="S164" s="14">
        <v>99.86</v>
      </c>
      <c r="T164" s="14">
        <v>83.22</v>
      </c>
      <c r="U164" s="73">
        <f>SUM(I164:T164)</f>
        <v>1119.76</v>
      </c>
      <c r="W164" s="48">
        <f t="shared" si="87"/>
        <v>2</v>
      </c>
      <c r="X164" s="48">
        <f t="shared" si="88"/>
        <v>2</v>
      </c>
      <c r="Y164" s="48">
        <f t="shared" si="89"/>
        <v>2</v>
      </c>
      <c r="Z164" s="48">
        <f t="shared" si="90"/>
        <v>2</v>
      </c>
      <c r="AA164" s="48">
        <f t="shared" si="91"/>
        <v>2</v>
      </c>
      <c r="AB164" s="48">
        <f t="shared" si="92"/>
        <v>2</v>
      </c>
      <c r="AC164" s="48">
        <f t="shared" si="93"/>
        <v>2</v>
      </c>
      <c r="AD164" s="48">
        <f t="shared" si="94"/>
        <v>2</v>
      </c>
      <c r="AE164" s="48">
        <f t="shared" si="95"/>
        <v>2</v>
      </c>
      <c r="AF164" s="48">
        <f t="shared" si="96"/>
        <v>2.1479888147988815</v>
      </c>
      <c r="AG164" s="48">
        <f t="shared" si="97"/>
        <v>2.1479888147988815</v>
      </c>
      <c r="AH164" s="48">
        <f t="shared" si="98"/>
        <v>1.7900623790062378</v>
      </c>
      <c r="AI164" s="47">
        <f t="shared" si="99"/>
        <v>2.0071700007170001</v>
      </c>
      <c r="AJ164" s="134">
        <f t="shared" si="100"/>
        <v>24.086040008604002</v>
      </c>
    </row>
    <row r="165" spans="1:36" x14ac:dyDescent="0.2">
      <c r="A165" s="45" t="str">
        <f t="shared" si="104"/>
        <v>allrecyclingCRY90OC</v>
      </c>
      <c r="B165" s="1" t="str">
        <f t="shared" si="85"/>
        <v>ridgerecyclingCRY90OC</v>
      </c>
      <c r="C165" s="58" t="s">
        <v>517</v>
      </c>
      <c r="D165" s="58" t="s">
        <v>598</v>
      </c>
      <c r="E165" s="11">
        <v>9.92</v>
      </c>
      <c r="F165" s="11">
        <v>9.92</v>
      </c>
      <c r="G165" s="11">
        <v>9.92</v>
      </c>
      <c r="H165" s="43"/>
      <c r="I165" s="14">
        <v>9.92</v>
      </c>
      <c r="J165" s="14">
        <v>9.92</v>
      </c>
      <c r="K165" s="14">
        <v>0</v>
      </c>
      <c r="L165" s="14">
        <v>0</v>
      </c>
      <c r="M165" s="14">
        <v>0</v>
      </c>
      <c r="N165" s="14">
        <v>0</v>
      </c>
      <c r="O165" s="14">
        <v>0</v>
      </c>
      <c r="P165" s="14">
        <v>0</v>
      </c>
      <c r="Q165" s="14">
        <v>0</v>
      </c>
      <c r="R165" s="14">
        <v>0</v>
      </c>
      <c r="S165" s="14">
        <v>0</v>
      </c>
      <c r="T165" s="14">
        <v>0</v>
      </c>
      <c r="U165" s="73">
        <f t="shared" si="86"/>
        <v>19.84</v>
      </c>
      <c r="W165" s="48">
        <f t="shared" si="87"/>
        <v>1</v>
      </c>
      <c r="X165" s="48">
        <f t="shared" si="88"/>
        <v>1</v>
      </c>
      <c r="Y165" s="48">
        <f t="shared" si="89"/>
        <v>0</v>
      </c>
      <c r="Z165" s="48">
        <f t="shared" si="90"/>
        <v>0</v>
      </c>
      <c r="AA165" s="48">
        <f t="shared" si="91"/>
        <v>0</v>
      </c>
      <c r="AB165" s="48">
        <f t="shared" si="92"/>
        <v>0</v>
      </c>
      <c r="AC165" s="48">
        <f t="shared" si="93"/>
        <v>0</v>
      </c>
      <c r="AD165" s="48">
        <f t="shared" si="94"/>
        <v>0</v>
      </c>
      <c r="AE165" s="48">
        <f t="shared" si="95"/>
        <v>0</v>
      </c>
      <c r="AF165" s="48">
        <f t="shared" si="96"/>
        <v>0</v>
      </c>
      <c r="AG165" s="48">
        <f t="shared" si="97"/>
        <v>0</v>
      </c>
      <c r="AH165" s="48">
        <f t="shared" si="98"/>
        <v>0</v>
      </c>
      <c r="AI165" s="47">
        <f t="shared" si="99"/>
        <v>0.16666666666666666</v>
      </c>
      <c r="AJ165" s="134">
        <f t="shared" si="100"/>
        <v>2</v>
      </c>
    </row>
    <row r="166" spans="1:36" ht="12" customHeight="1" x14ac:dyDescent="0.2">
      <c r="B166" s="1" t="str">
        <f>"ridge"&amp;"residential Extras"&amp;C166</f>
        <v>ridgeresidential ExtrasCRPLACE</v>
      </c>
      <c r="C166" s="58" t="s">
        <v>522</v>
      </c>
      <c r="D166" s="58" t="s">
        <v>602</v>
      </c>
      <c r="E166" s="11">
        <v>7.46</v>
      </c>
      <c r="F166" s="11">
        <v>7.46</v>
      </c>
      <c r="G166" s="11">
        <v>7.46</v>
      </c>
      <c r="H166" s="55"/>
      <c r="I166" s="14">
        <v>0</v>
      </c>
      <c r="J166" s="14">
        <v>7.46</v>
      </c>
      <c r="K166" s="14">
        <v>0</v>
      </c>
      <c r="L166" s="14">
        <v>0</v>
      </c>
      <c r="M166" s="14">
        <v>0</v>
      </c>
      <c r="N166" s="14">
        <v>14.92</v>
      </c>
      <c r="O166" s="14">
        <v>0</v>
      </c>
      <c r="P166" s="14">
        <v>0</v>
      </c>
      <c r="Q166" s="14">
        <v>0</v>
      </c>
      <c r="R166" s="14">
        <v>0</v>
      </c>
      <c r="S166" s="14">
        <v>0</v>
      </c>
      <c r="T166" s="14">
        <v>0</v>
      </c>
      <c r="U166" s="73">
        <f>SUM(I166:T166)</f>
        <v>22.38</v>
      </c>
      <c r="W166" s="49">
        <f t="shared" si="87"/>
        <v>0</v>
      </c>
      <c r="X166" s="49">
        <f t="shared" si="88"/>
        <v>1</v>
      </c>
      <c r="Y166" s="49">
        <f t="shared" si="89"/>
        <v>0</v>
      </c>
      <c r="Z166" s="49">
        <f t="shared" si="90"/>
        <v>0</v>
      </c>
      <c r="AA166" s="49">
        <f t="shared" si="91"/>
        <v>0</v>
      </c>
      <c r="AB166" s="49">
        <f t="shared" si="92"/>
        <v>2</v>
      </c>
      <c r="AC166" s="49">
        <f t="shared" si="93"/>
        <v>0</v>
      </c>
      <c r="AD166" s="49">
        <f t="shared" si="94"/>
        <v>0</v>
      </c>
      <c r="AE166" s="49">
        <f t="shared" si="95"/>
        <v>0</v>
      </c>
      <c r="AF166" s="49">
        <f t="shared" si="96"/>
        <v>0</v>
      </c>
      <c r="AG166" s="49">
        <f t="shared" si="97"/>
        <v>0</v>
      </c>
      <c r="AH166" s="49">
        <f t="shared" si="98"/>
        <v>0</v>
      </c>
      <c r="AI166" s="47">
        <f>+IFERROR(AVERAGE(W166:AH166),0)</f>
        <v>0.25</v>
      </c>
      <c r="AJ166" s="134">
        <f>SUM(W166:AH166)</f>
        <v>3</v>
      </c>
    </row>
    <row r="167" spans="1:36" ht="12" customHeight="1" x14ac:dyDescent="0.2">
      <c r="A167" s="45" t="str">
        <f t="shared" si="104"/>
        <v>allrecyclingCRYEXC</v>
      </c>
      <c r="B167" s="1" t="str">
        <f t="shared" ref="B167:B174" si="105">"ridge"&amp;"recycling"&amp;C167</f>
        <v>ridgerecyclingCRYEXC</v>
      </c>
      <c r="C167" s="58" t="s">
        <v>519</v>
      </c>
      <c r="D167" s="58" t="s">
        <v>600</v>
      </c>
      <c r="E167" s="11">
        <v>25.43</v>
      </c>
      <c r="F167" s="11">
        <v>25.43</v>
      </c>
      <c r="G167" s="11">
        <v>25.43</v>
      </c>
      <c r="H167" s="55"/>
      <c r="I167" s="14">
        <v>50.86</v>
      </c>
      <c r="J167" s="14">
        <v>330.59</v>
      </c>
      <c r="K167" s="14">
        <v>381.45</v>
      </c>
      <c r="L167" s="14">
        <v>382.72</v>
      </c>
      <c r="M167" s="14">
        <v>432.31</v>
      </c>
      <c r="N167" s="14">
        <v>508.6</v>
      </c>
      <c r="O167" s="14">
        <v>635.75</v>
      </c>
      <c r="P167" s="14">
        <v>279.73</v>
      </c>
      <c r="Q167" s="14">
        <v>205.69</v>
      </c>
      <c r="R167" s="14">
        <v>27.31</v>
      </c>
      <c r="S167" s="14">
        <v>27.31</v>
      </c>
      <c r="T167" s="14">
        <v>163.86</v>
      </c>
      <c r="U167" s="73">
        <f t="shared" si="86"/>
        <v>3426.18</v>
      </c>
      <c r="W167" s="48">
        <f t="shared" si="87"/>
        <v>2</v>
      </c>
      <c r="X167" s="48">
        <f t="shared" si="88"/>
        <v>13</v>
      </c>
      <c r="Y167" s="48">
        <f t="shared" si="89"/>
        <v>15</v>
      </c>
      <c r="Z167" s="48">
        <f t="shared" si="90"/>
        <v>15.049941014549745</v>
      </c>
      <c r="AA167" s="48">
        <f t="shared" si="91"/>
        <v>17</v>
      </c>
      <c r="AB167" s="48">
        <f t="shared" si="92"/>
        <v>20</v>
      </c>
      <c r="AC167" s="48">
        <f t="shared" si="93"/>
        <v>25</v>
      </c>
      <c r="AD167" s="48">
        <f t="shared" si="94"/>
        <v>11</v>
      </c>
      <c r="AE167" s="48">
        <f t="shared" si="95"/>
        <v>8.0884781753834059</v>
      </c>
      <c r="AF167" s="48">
        <f t="shared" si="96"/>
        <v>1.0739284309870232</v>
      </c>
      <c r="AG167" s="48">
        <f t="shared" si="97"/>
        <v>1.0739284309870232</v>
      </c>
      <c r="AH167" s="48">
        <f t="shared" si="98"/>
        <v>6.4435705859221395</v>
      </c>
      <c r="AI167" s="47">
        <f t="shared" si="99"/>
        <v>11.22748721981911</v>
      </c>
      <c r="AJ167" s="134">
        <f t="shared" si="100"/>
        <v>134.72984663782933</v>
      </c>
    </row>
    <row r="168" spans="1:36" ht="12" customHeight="1" x14ac:dyDescent="0.2">
      <c r="A168" s="45" t="str">
        <f t="shared" si="104"/>
        <v>allrecyclingCRYACC</v>
      </c>
      <c r="B168" s="1" t="str">
        <f t="shared" si="105"/>
        <v>ridgerecyclingCRYACC</v>
      </c>
      <c r="C168" s="58" t="s">
        <v>521</v>
      </c>
      <c r="D168" s="58" t="s">
        <v>601</v>
      </c>
      <c r="E168" s="11">
        <v>9.73</v>
      </c>
      <c r="F168" s="11">
        <v>9.73</v>
      </c>
      <c r="G168" s="11">
        <v>9.73</v>
      </c>
      <c r="H168" s="55"/>
      <c r="I168" s="14">
        <v>242.24</v>
      </c>
      <c r="J168" s="14">
        <v>242.24</v>
      </c>
      <c r="K168" s="14">
        <v>242.24</v>
      </c>
      <c r="L168" s="14">
        <v>242.24</v>
      </c>
      <c r="M168" s="14">
        <v>251.97</v>
      </c>
      <c r="N168" s="14">
        <v>251.97</v>
      </c>
      <c r="O168" s="14">
        <v>251.97</v>
      </c>
      <c r="P168" s="14">
        <v>254.22</v>
      </c>
      <c r="Q168" s="14">
        <v>251.97</v>
      </c>
      <c r="R168" s="14">
        <v>269.25</v>
      </c>
      <c r="S168" s="14">
        <v>269.25</v>
      </c>
      <c r="T168" s="14">
        <v>279.7</v>
      </c>
      <c r="U168" s="73">
        <f t="shared" si="86"/>
        <v>3049.2599999999998</v>
      </c>
      <c r="W168" s="48">
        <f t="shared" si="87"/>
        <v>24.896197327852004</v>
      </c>
      <c r="X168" s="48">
        <f t="shared" si="88"/>
        <v>24.896197327852004</v>
      </c>
      <c r="Y168" s="48">
        <f t="shared" si="89"/>
        <v>24.896197327852004</v>
      </c>
      <c r="Z168" s="48">
        <f t="shared" si="90"/>
        <v>24.896197327852004</v>
      </c>
      <c r="AA168" s="48">
        <f t="shared" si="91"/>
        <v>25.896197327852004</v>
      </c>
      <c r="AB168" s="48">
        <f t="shared" si="92"/>
        <v>25.896197327852004</v>
      </c>
      <c r="AC168" s="48">
        <f t="shared" si="93"/>
        <v>25.896197327852004</v>
      </c>
      <c r="AD168" s="48">
        <f t="shared" si="94"/>
        <v>26.12744090441932</v>
      </c>
      <c r="AE168" s="48">
        <f t="shared" si="95"/>
        <v>25.896197327852004</v>
      </c>
      <c r="AF168" s="48">
        <f t="shared" si="96"/>
        <v>27.672147995889002</v>
      </c>
      <c r="AG168" s="48">
        <f t="shared" si="97"/>
        <v>27.672147995889002</v>
      </c>
      <c r="AH168" s="48">
        <f t="shared" si="98"/>
        <v>28.746145940390541</v>
      </c>
      <c r="AI168" s="47">
        <f t="shared" si="99"/>
        <v>26.115621788283661</v>
      </c>
      <c r="AJ168" s="134">
        <f t="shared" si="100"/>
        <v>313.38746145940394</v>
      </c>
    </row>
    <row r="169" spans="1:36" ht="12" customHeight="1" x14ac:dyDescent="0.2">
      <c r="A169" s="45" t="str">
        <f>"all"&amp;"recycling"&amp;C169</f>
        <v>allrecyclingMFTOTE</v>
      </c>
      <c r="B169" s="1" t="str">
        <f t="shared" si="105"/>
        <v>ridgerecyclingMFTOTE</v>
      </c>
      <c r="C169" s="58" t="s">
        <v>1033</v>
      </c>
      <c r="D169" s="58" t="s">
        <v>1362</v>
      </c>
      <c r="E169" s="11">
        <v>6.93</v>
      </c>
      <c r="F169" s="11">
        <v>6.93</v>
      </c>
      <c r="G169" s="11">
        <v>6.93</v>
      </c>
      <c r="H169" s="55"/>
      <c r="I169" s="14">
        <v>0</v>
      </c>
      <c r="J169" s="14">
        <v>0</v>
      </c>
      <c r="K169" s="14">
        <v>0</v>
      </c>
      <c r="L169" s="14">
        <v>7.28</v>
      </c>
      <c r="M169" s="14">
        <v>0</v>
      </c>
      <c r="N169" s="14">
        <v>0</v>
      </c>
      <c r="O169" s="14">
        <v>0</v>
      </c>
      <c r="P169" s="14">
        <v>0</v>
      </c>
      <c r="Q169" s="14">
        <v>0</v>
      </c>
      <c r="R169" s="14">
        <v>0</v>
      </c>
      <c r="S169" s="14">
        <v>0</v>
      </c>
      <c r="T169" s="14">
        <v>0</v>
      </c>
      <c r="U169" s="73">
        <f>SUM(I169:T169)</f>
        <v>7.28</v>
      </c>
      <c r="W169" s="48">
        <f t="shared" si="87"/>
        <v>0</v>
      </c>
      <c r="X169" s="48">
        <f t="shared" si="88"/>
        <v>0</v>
      </c>
      <c r="Y169" s="48">
        <f t="shared" si="89"/>
        <v>0</v>
      </c>
      <c r="Z169" s="48">
        <f t="shared" si="90"/>
        <v>1.0505050505050506</v>
      </c>
      <c r="AA169" s="48">
        <f t="shared" si="91"/>
        <v>0</v>
      </c>
      <c r="AB169" s="48">
        <f t="shared" si="92"/>
        <v>0</v>
      </c>
      <c r="AC169" s="48">
        <f t="shared" si="93"/>
        <v>0</v>
      </c>
      <c r="AD169" s="48">
        <f t="shared" si="94"/>
        <v>0</v>
      </c>
      <c r="AE169" s="48">
        <f t="shared" si="95"/>
        <v>0</v>
      </c>
      <c r="AF169" s="48">
        <f t="shared" si="96"/>
        <v>0</v>
      </c>
      <c r="AG169" s="48">
        <f t="shared" si="97"/>
        <v>0</v>
      </c>
      <c r="AH169" s="48">
        <f t="shared" si="98"/>
        <v>0</v>
      </c>
      <c r="AI169" s="47">
        <f>+IFERROR(AVERAGE(W169:AH169),0)</f>
        <v>8.7542087542087546E-2</v>
      </c>
      <c r="AJ169" s="134">
        <f>SUM(W169:AH169)</f>
        <v>1.0505050505050506</v>
      </c>
    </row>
    <row r="170" spans="1:36" ht="12" customHeight="1" x14ac:dyDescent="0.2">
      <c r="A170" s="45" t="str">
        <f t="shared" si="104"/>
        <v>allrecyclingCRYPLACE</v>
      </c>
      <c r="B170" s="1" t="str">
        <f t="shared" si="105"/>
        <v>ridgerecyclingCRYPLACE</v>
      </c>
      <c r="C170" s="58" t="s">
        <v>523</v>
      </c>
      <c r="D170" s="58" t="s">
        <v>603</v>
      </c>
      <c r="E170" s="11">
        <v>36.729999999999997</v>
      </c>
      <c r="F170" s="11">
        <v>36.729999999999997</v>
      </c>
      <c r="G170" s="11">
        <v>36.729999999999997</v>
      </c>
      <c r="H170" s="55"/>
      <c r="I170" s="14">
        <v>36.729999999999997</v>
      </c>
      <c r="J170" s="14">
        <v>36.729999999999997</v>
      </c>
      <c r="K170" s="14">
        <v>110.19</v>
      </c>
      <c r="L170" s="14">
        <v>148.76</v>
      </c>
      <c r="M170" s="14">
        <v>36.729999999999997</v>
      </c>
      <c r="N170" s="14">
        <v>36.729999999999997</v>
      </c>
      <c r="O170" s="14">
        <v>73.459999999999994</v>
      </c>
      <c r="P170" s="14">
        <v>0</v>
      </c>
      <c r="Q170" s="14">
        <v>0</v>
      </c>
      <c r="R170" s="14">
        <v>39.450000000000003</v>
      </c>
      <c r="S170" s="14">
        <v>0</v>
      </c>
      <c r="T170" s="14">
        <v>39.450000000000003</v>
      </c>
      <c r="U170" s="73">
        <f t="shared" si="86"/>
        <v>558.23</v>
      </c>
      <c r="W170" s="48">
        <f t="shared" si="87"/>
        <v>1</v>
      </c>
      <c r="X170" s="48">
        <f t="shared" si="88"/>
        <v>1</v>
      </c>
      <c r="Y170" s="48">
        <f t="shared" si="89"/>
        <v>3</v>
      </c>
      <c r="Z170" s="48">
        <f t="shared" si="90"/>
        <v>4.0500952899537168</v>
      </c>
      <c r="AA170" s="48">
        <f t="shared" si="91"/>
        <v>1</v>
      </c>
      <c r="AB170" s="48">
        <f t="shared" si="92"/>
        <v>1</v>
      </c>
      <c r="AC170" s="48">
        <f t="shared" si="93"/>
        <v>2</v>
      </c>
      <c r="AD170" s="48">
        <f t="shared" si="94"/>
        <v>0</v>
      </c>
      <c r="AE170" s="48">
        <f t="shared" si="95"/>
        <v>0</v>
      </c>
      <c r="AF170" s="48">
        <f t="shared" si="96"/>
        <v>1.0740539068881025</v>
      </c>
      <c r="AG170" s="48">
        <f t="shared" si="97"/>
        <v>0</v>
      </c>
      <c r="AH170" s="48">
        <f t="shared" si="98"/>
        <v>1.0740539068881025</v>
      </c>
      <c r="AI170" s="47">
        <f t="shared" si="99"/>
        <v>1.266516925310827</v>
      </c>
      <c r="AJ170" s="134">
        <f t="shared" si="100"/>
        <v>15.198203103729924</v>
      </c>
    </row>
    <row r="171" spans="1:36" ht="12" customHeight="1" x14ac:dyDescent="0.2">
      <c r="A171" s="45" t="str">
        <f t="shared" si="104"/>
        <v>allrecyclingCRYRO</v>
      </c>
      <c r="B171" s="1" t="str">
        <f t="shared" si="105"/>
        <v>ridgerecyclingCRYRO</v>
      </c>
      <c r="C171" s="58" t="s">
        <v>524</v>
      </c>
      <c r="D171" s="58" t="s">
        <v>604</v>
      </c>
      <c r="E171" s="11">
        <v>9.73</v>
      </c>
      <c r="F171" s="11">
        <v>9.73</v>
      </c>
      <c r="G171" s="11">
        <v>9.73</v>
      </c>
      <c r="H171" s="55"/>
      <c r="I171" s="14">
        <v>205.84</v>
      </c>
      <c r="J171" s="14">
        <v>184.13</v>
      </c>
      <c r="K171" s="14">
        <v>184.13</v>
      </c>
      <c r="L171" s="14">
        <v>173.88</v>
      </c>
      <c r="M171" s="14">
        <v>211.14000000000001</v>
      </c>
      <c r="N171" s="14">
        <v>205.84</v>
      </c>
      <c r="O171" s="14">
        <v>212.67000000000002</v>
      </c>
      <c r="P171" s="14">
        <v>198.36</v>
      </c>
      <c r="Q171" s="14">
        <v>202.86</v>
      </c>
      <c r="R171" s="14">
        <v>206.82</v>
      </c>
      <c r="S171" s="14">
        <v>206.82</v>
      </c>
      <c r="T171" s="14">
        <v>219.68</v>
      </c>
      <c r="U171" s="73">
        <f t="shared" si="86"/>
        <v>2412.17</v>
      </c>
      <c r="W171" s="48">
        <f t="shared" si="87"/>
        <v>21.155190133607398</v>
      </c>
      <c r="X171" s="48">
        <f t="shared" si="88"/>
        <v>18.923946557040082</v>
      </c>
      <c r="Y171" s="48">
        <f t="shared" si="89"/>
        <v>18.923946557040082</v>
      </c>
      <c r="Z171" s="48">
        <f t="shared" si="90"/>
        <v>17.870503597122301</v>
      </c>
      <c r="AA171" s="48">
        <f t="shared" si="91"/>
        <v>21.699897225077081</v>
      </c>
      <c r="AB171" s="48">
        <f t="shared" si="92"/>
        <v>21.155190133607398</v>
      </c>
      <c r="AC171" s="48">
        <f t="shared" si="93"/>
        <v>21.857142857142858</v>
      </c>
      <c r="AD171" s="48">
        <f t="shared" si="94"/>
        <v>20.386433710174718</v>
      </c>
      <c r="AE171" s="48">
        <f t="shared" si="95"/>
        <v>20.848920863309353</v>
      </c>
      <c r="AF171" s="48">
        <f t="shared" si="96"/>
        <v>21.255909558067831</v>
      </c>
      <c r="AG171" s="48">
        <f t="shared" si="97"/>
        <v>21.255909558067831</v>
      </c>
      <c r="AH171" s="48">
        <f t="shared" si="98"/>
        <v>22.577595066803699</v>
      </c>
      <c r="AI171" s="47">
        <f t="shared" si="99"/>
        <v>20.659215484755052</v>
      </c>
      <c r="AJ171" s="134">
        <f t="shared" si="100"/>
        <v>247.91058581706062</v>
      </c>
    </row>
    <row r="172" spans="1:36" ht="12" customHeight="1" x14ac:dyDescent="0.2">
      <c r="A172" s="45" t="str">
        <f>"Schools"&amp;"recycling"&amp;C172</f>
        <v>SchoolsrecyclingSCHX</v>
      </c>
      <c r="B172" s="1" t="str">
        <f t="shared" si="105"/>
        <v>ridgerecyclingSCHX</v>
      </c>
      <c r="C172" s="58" t="s">
        <v>1026</v>
      </c>
      <c r="D172" s="58" t="s">
        <v>1027</v>
      </c>
      <c r="E172" s="11">
        <v>9.08</v>
      </c>
      <c r="F172" s="11">
        <v>9.08</v>
      </c>
      <c r="G172" s="11">
        <v>9.08</v>
      </c>
      <c r="H172" s="55"/>
      <c r="I172" s="14">
        <v>0</v>
      </c>
      <c r="J172" s="14">
        <v>0</v>
      </c>
      <c r="K172" s="14">
        <v>283.39999999999998</v>
      </c>
      <c r="L172" s="14">
        <v>21.8</v>
      </c>
      <c r="M172" s="14">
        <v>32.700000000000003</v>
      </c>
      <c r="N172" s="14">
        <v>43.6</v>
      </c>
      <c r="O172" s="14">
        <v>0</v>
      </c>
      <c r="P172" s="14">
        <v>0</v>
      </c>
      <c r="Q172" s="14">
        <v>0</v>
      </c>
      <c r="R172" s="14">
        <v>0</v>
      </c>
      <c r="S172" s="14">
        <v>0</v>
      </c>
      <c r="T172" s="14">
        <v>0</v>
      </c>
      <c r="U172" s="73">
        <f>SUM(I172:T172)</f>
        <v>381.5</v>
      </c>
      <c r="W172" s="48">
        <f t="shared" si="87"/>
        <v>0</v>
      </c>
      <c r="X172" s="48">
        <f t="shared" si="88"/>
        <v>0</v>
      </c>
      <c r="Y172" s="48">
        <f t="shared" si="89"/>
        <v>31.21145374449339</v>
      </c>
      <c r="Z172" s="48">
        <f t="shared" si="90"/>
        <v>2.4008810572687227</v>
      </c>
      <c r="AA172" s="48">
        <f t="shared" si="91"/>
        <v>3.6013215859030838</v>
      </c>
      <c r="AB172" s="48">
        <f t="shared" si="92"/>
        <v>4.8017621145374454</v>
      </c>
      <c r="AC172" s="48">
        <f t="shared" si="93"/>
        <v>0</v>
      </c>
      <c r="AD172" s="48">
        <f t="shared" si="94"/>
        <v>0</v>
      </c>
      <c r="AE172" s="48">
        <f t="shared" si="95"/>
        <v>0</v>
      </c>
      <c r="AF172" s="48">
        <f t="shared" si="96"/>
        <v>0</v>
      </c>
      <c r="AG172" s="48">
        <f t="shared" si="97"/>
        <v>0</v>
      </c>
      <c r="AH172" s="48">
        <f t="shared" si="98"/>
        <v>0</v>
      </c>
      <c r="AI172" s="47">
        <f t="shared" si="99"/>
        <v>3.5012848751835537</v>
      </c>
      <c r="AJ172" s="134">
        <f t="shared" si="100"/>
        <v>42.015418502202643</v>
      </c>
    </row>
    <row r="173" spans="1:36" ht="12" customHeight="1" x14ac:dyDescent="0.2">
      <c r="A173" s="45" t="str">
        <f>"all"&amp;"recycling"&amp;C173</f>
        <v>allrecyclingSFR65G1X</v>
      </c>
      <c r="B173" s="1" t="str">
        <f t="shared" si="105"/>
        <v>ridgerecyclingSFR65G1X</v>
      </c>
      <c r="C173" s="58" t="s">
        <v>1276</v>
      </c>
      <c r="D173" s="58" t="s">
        <v>1365</v>
      </c>
      <c r="E173" s="11">
        <v>24.72</v>
      </c>
      <c r="F173" s="11">
        <v>24.72</v>
      </c>
      <c r="G173" s="11">
        <v>24.72</v>
      </c>
      <c r="H173" s="55"/>
      <c r="I173" s="14">
        <v>228.06</v>
      </c>
      <c r="J173" s="14">
        <v>228.06</v>
      </c>
      <c r="K173" s="14">
        <v>228.06</v>
      </c>
      <c r="L173" s="14">
        <v>228.06</v>
      </c>
      <c r="M173" s="14">
        <v>228.06</v>
      </c>
      <c r="N173" s="14">
        <v>228.06</v>
      </c>
      <c r="O173" s="14">
        <v>228.06</v>
      </c>
      <c r="P173" s="14">
        <v>228.06</v>
      </c>
      <c r="Q173" s="14">
        <v>228.06</v>
      </c>
      <c r="R173" s="14">
        <v>228.06</v>
      </c>
      <c r="S173" s="14">
        <v>228.06</v>
      </c>
      <c r="T173" s="14">
        <v>228.06</v>
      </c>
      <c r="U173" s="73">
        <f>SUM(I173:T173)</f>
        <v>2736.72</v>
      </c>
      <c r="W173" s="48">
        <f t="shared" si="87"/>
        <v>9.2257281553398069</v>
      </c>
      <c r="X173" s="48">
        <f t="shared" si="88"/>
        <v>9.2257281553398069</v>
      </c>
      <c r="Y173" s="48">
        <f t="shared" si="89"/>
        <v>9.2257281553398069</v>
      </c>
      <c r="Z173" s="48">
        <f t="shared" si="90"/>
        <v>9.2257281553398069</v>
      </c>
      <c r="AA173" s="48">
        <f t="shared" si="91"/>
        <v>9.2257281553398069</v>
      </c>
      <c r="AB173" s="48">
        <f t="shared" si="92"/>
        <v>9.2257281553398069</v>
      </c>
      <c r="AC173" s="48">
        <f t="shared" si="93"/>
        <v>9.2257281553398069</v>
      </c>
      <c r="AD173" s="48">
        <f t="shared" si="94"/>
        <v>9.2257281553398069</v>
      </c>
      <c r="AE173" s="48">
        <f t="shared" si="95"/>
        <v>9.2257281553398069</v>
      </c>
      <c r="AF173" s="48">
        <f t="shared" si="96"/>
        <v>9.2257281553398069</v>
      </c>
      <c r="AG173" s="48">
        <f t="shared" si="97"/>
        <v>9.2257281553398069</v>
      </c>
      <c r="AH173" s="48">
        <f t="shared" si="98"/>
        <v>9.2257281553398069</v>
      </c>
      <c r="AI173" s="47">
        <f t="shared" si="99"/>
        <v>9.2257281553398069</v>
      </c>
      <c r="AJ173" s="134">
        <f t="shared" si="100"/>
        <v>110.70873786407769</v>
      </c>
    </row>
    <row r="174" spans="1:36" ht="12" customHeight="1" x14ac:dyDescent="0.2">
      <c r="A174" s="45" t="str">
        <f t="shared" si="104"/>
        <v>allrecyclingCRYTRIP</v>
      </c>
      <c r="B174" s="1" t="str">
        <f t="shared" si="105"/>
        <v>ridgerecyclingCRYTRIP</v>
      </c>
      <c r="C174" s="58" t="s">
        <v>536</v>
      </c>
      <c r="D174" s="58" t="s">
        <v>616</v>
      </c>
      <c r="E174" s="11">
        <v>17.72</v>
      </c>
      <c r="F174" s="11">
        <v>17.72</v>
      </c>
      <c r="G174" s="11">
        <v>17.72</v>
      </c>
      <c r="H174" s="55"/>
      <c r="I174" s="14">
        <v>0</v>
      </c>
      <c r="J174" s="14">
        <v>0</v>
      </c>
      <c r="K174" s="14">
        <v>0</v>
      </c>
      <c r="L174" s="14">
        <v>80.8</v>
      </c>
      <c r="M174" s="14">
        <v>17.72</v>
      </c>
      <c r="N174" s="14">
        <v>0</v>
      </c>
      <c r="O174" s="14">
        <v>0</v>
      </c>
      <c r="P174" s="14">
        <v>0</v>
      </c>
      <c r="Q174" s="14">
        <v>0</v>
      </c>
      <c r="R174" s="14">
        <v>0</v>
      </c>
      <c r="S174" s="14">
        <v>0</v>
      </c>
      <c r="T174" s="14">
        <v>0</v>
      </c>
      <c r="U174" s="73">
        <f t="shared" si="86"/>
        <v>98.52</v>
      </c>
      <c r="W174" s="48">
        <f t="shared" si="87"/>
        <v>0</v>
      </c>
      <c r="X174" s="48">
        <f t="shared" si="88"/>
        <v>0</v>
      </c>
      <c r="Y174" s="48">
        <f t="shared" si="89"/>
        <v>0</v>
      </c>
      <c r="Z174" s="48">
        <f t="shared" si="90"/>
        <v>4.5598194130925513</v>
      </c>
      <c r="AA174" s="48">
        <f t="shared" si="91"/>
        <v>1</v>
      </c>
      <c r="AB174" s="48">
        <f t="shared" si="92"/>
        <v>0</v>
      </c>
      <c r="AC174" s="48">
        <f t="shared" si="93"/>
        <v>0</v>
      </c>
      <c r="AD174" s="48">
        <f t="shared" si="94"/>
        <v>0</v>
      </c>
      <c r="AE174" s="48">
        <f t="shared" si="95"/>
        <v>0</v>
      </c>
      <c r="AF174" s="48">
        <f t="shared" si="96"/>
        <v>0</v>
      </c>
      <c r="AG174" s="48">
        <f t="shared" si="97"/>
        <v>0</v>
      </c>
      <c r="AH174" s="48">
        <f t="shared" si="98"/>
        <v>0</v>
      </c>
      <c r="AI174" s="47">
        <f t="shared" si="99"/>
        <v>0.46331828442437928</v>
      </c>
      <c r="AJ174" s="134">
        <f t="shared" si="100"/>
        <v>5.5598194130925513</v>
      </c>
    </row>
    <row r="175" spans="1:36" ht="12" customHeight="1" x14ac:dyDescent="0.2">
      <c r="B175" s="1" t="str">
        <f>"ridge"&amp;"accounting"&amp;C175</f>
        <v>ridgeaccountingGWC</v>
      </c>
      <c r="C175" s="58" t="s">
        <v>209</v>
      </c>
      <c r="D175" s="58" t="s">
        <v>302</v>
      </c>
      <c r="E175" s="11">
        <v>0</v>
      </c>
      <c r="F175" s="11">
        <v>0</v>
      </c>
      <c r="G175" s="11">
        <v>0</v>
      </c>
      <c r="H175" s="55"/>
      <c r="I175" s="14">
        <v>0</v>
      </c>
      <c r="J175" s="14">
        <v>0</v>
      </c>
      <c r="K175" s="14">
        <v>0</v>
      </c>
      <c r="L175" s="14">
        <v>0</v>
      </c>
      <c r="M175" s="14">
        <v>-25</v>
      </c>
      <c r="N175" s="14">
        <v>-50</v>
      </c>
      <c r="O175" s="14">
        <v>0</v>
      </c>
      <c r="P175" s="14">
        <v>-222.84</v>
      </c>
      <c r="Q175" s="14">
        <v>-25</v>
      </c>
      <c r="R175" s="14">
        <v>-25</v>
      </c>
      <c r="S175" s="14">
        <v>0</v>
      </c>
      <c r="T175" s="14">
        <v>0</v>
      </c>
      <c r="U175" s="73">
        <f>SUM(I175:T175)</f>
        <v>-347.84000000000003</v>
      </c>
      <c r="W175" s="48"/>
      <c r="X175" s="48"/>
      <c r="Y175" s="48"/>
      <c r="Z175" s="48"/>
      <c r="AA175" s="48"/>
      <c r="AB175" s="48"/>
      <c r="AC175" s="48"/>
      <c r="AD175" s="48"/>
      <c r="AE175" s="48"/>
      <c r="AF175" s="48"/>
      <c r="AG175" s="48"/>
      <c r="AH175" s="48"/>
    </row>
    <row r="176" spans="1:36" ht="12" customHeight="1" x14ac:dyDescent="0.2">
      <c r="B176" s="1" t="str">
        <f>"ridge"&amp;"accounting"&amp;C176</f>
        <v>ridgeaccountingADJ</v>
      </c>
      <c r="C176" s="58" t="s">
        <v>208</v>
      </c>
      <c r="D176" s="58" t="s">
        <v>301</v>
      </c>
      <c r="E176" s="11">
        <v>0</v>
      </c>
      <c r="F176" s="11">
        <v>0</v>
      </c>
      <c r="G176" s="11">
        <v>0</v>
      </c>
      <c r="H176" s="55"/>
      <c r="I176" s="14">
        <v>-0.24</v>
      </c>
      <c r="J176" s="14">
        <v>0</v>
      </c>
      <c r="K176" s="14">
        <v>0</v>
      </c>
      <c r="L176" s="14">
        <v>0</v>
      </c>
      <c r="M176" s="14">
        <v>0</v>
      </c>
      <c r="N176" s="14">
        <v>0</v>
      </c>
      <c r="O176" s="14">
        <v>0</v>
      </c>
      <c r="P176" s="14">
        <v>-6.78</v>
      </c>
      <c r="Q176" s="14">
        <v>-7.45</v>
      </c>
      <c r="R176" s="14">
        <v>0</v>
      </c>
      <c r="S176" s="14">
        <v>0</v>
      </c>
      <c r="T176" s="14">
        <v>0</v>
      </c>
      <c r="U176" s="73">
        <f>SUM(I176:T176)</f>
        <v>-14.47</v>
      </c>
      <c r="W176" s="48"/>
      <c r="X176" s="48"/>
      <c r="Y176" s="48"/>
      <c r="Z176" s="48"/>
      <c r="AA176" s="48"/>
      <c r="AB176" s="48"/>
      <c r="AC176" s="48"/>
      <c r="AD176" s="48"/>
      <c r="AE176" s="48"/>
      <c r="AF176" s="48"/>
      <c r="AG176" s="48"/>
      <c r="AH176" s="48"/>
    </row>
    <row r="177" spans="1:43" ht="12" customHeight="1" x14ac:dyDescent="0.2">
      <c r="B177" s="1" t="str">
        <f>"ridge"&amp;"accounting"&amp;C177</f>
        <v>ridgeaccountingMM</v>
      </c>
      <c r="C177" s="58" t="s">
        <v>1010</v>
      </c>
      <c r="D177" s="58" t="s">
        <v>1011</v>
      </c>
      <c r="E177" s="11">
        <v>0</v>
      </c>
      <c r="F177" s="11">
        <v>0</v>
      </c>
      <c r="G177" s="11">
        <v>0</v>
      </c>
      <c r="H177" s="55"/>
      <c r="I177" s="14">
        <v>-3642.84</v>
      </c>
      <c r="J177" s="14">
        <v>479.42</v>
      </c>
      <c r="K177" s="14">
        <v>4723.5</v>
      </c>
      <c r="L177" s="14">
        <v>614.16999999999996</v>
      </c>
      <c r="M177" s="14">
        <v>5159.22</v>
      </c>
      <c r="N177" s="14">
        <v>-195.59</v>
      </c>
      <c r="O177" s="14">
        <v>3532.42</v>
      </c>
      <c r="P177" s="14">
        <v>-1072.4100000000001</v>
      </c>
      <c r="Q177" s="14">
        <v>4452.84</v>
      </c>
      <c r="R177" s="14">
        <v>-4.22</v>
      </c>
      <c r="S177" s="14">
        <v>-206.81</v>
      </c>
      <c r="T177" s="14">
        <v>-118.63</v>
      </c>
      <c r="U177" s="73">
        <f>SUM(I177:T177)</f>
        <v>13721.070000000002</v>
      </c>
      <c r="W177" s="48"/>
      <c r="X177" s="48"/>
      <c r="Y177" s="48"/>
      <c r="Z177" s="48"/>
      <c r="AA177" s="48"/>
      <c r="AB177" s="48"/>
      <c r="AC177" s="48"/>
      <c r="AD177" s="48"/>
      <c r="AE177" s="48"/>
      <c r="AF177" s="48"/>
      <c r="AG177" s="48"/>
      <c r="AH177" s="48"/>
    </row>
    <row r="178" spans="1:43" ht="12" customHeight="1" x14ac:dyDescent="0.2">
      <c r="A178" s="45" t="str">
        <f t="shared" si="104"/>
        <v>allrecyclingCFR65G2x</v>
      </c>
      <c r="B178" s="1" t="str">
        <f>"ridge"&amp;"recycling"&amp;C178</f>
        <v>ridgerecyclingCFR65G2x</v>
      </c>
      <c r="C178" s="58" t="s">
        <v>1322</v>
      </c>
      <c r="D178" s="58" t="s">
        <v>572</v>
      </c>
      <c r="E178" s="11">
        <v>67.23</v>
      </c>
      <c r="F178" s="11">
        <v>67.23</v>
      </c>
      <c r="G178" s="11">
        <v>67.23</v>
      </c>
      <c r="H178" s="43"/>
      <c r="I178" s="14">
        <v>201.69</v>
      </c>
      <c r="J178" s="14">
        <v>50.4</v>
      </c>
      <c r="K178" s="14">
        <v>0</v>
      </c>
      <c r="L178" s="14">
        <v>0</v>
      </c>
      <c r="M178" s="14">
        <v>0</v>
      </c>
      <c r="N178" s="14">
        <v>0</v>
      </c>
      <c r="O178" s="14">
        <v>0</v>
      </c>
      <c r="P178" s="14">
        <v>0</v>
      </c>
      <c r="Q178" s="14">
        <v>0</v>
      </c>
      <c r="R178" s="14">
        <v>0</v>
      </c>
      <c r="S178" s="14">
        <v>0</v>
      </c>
      <c r="T178" s="14">
        <v>0</v>
      </c>
      <c r="U178" s="73">
        <f t="shared" si="86"/>
        <v>252.09</v>
      </c>
      <c r="W178" s="48">
        <f>IFERROR(I178/$E178,0)</f>
        <v>3</v>
      </c>
      <c r="X178" s="48">
        <f>IFERROR(J178/$E178,0)</f>
        <v>0.74966532797858088</v>
      </c>
      <c r="Y178" s="48">
        <f>IFERROR(K178/$E178,0)</f>
        <v>0</v>
      </c>
      <c r="Z178" s="48">
        <f t="shared" ref="Z178:AE178" si="106">IFERROR(L178/$F178,0)</f>
        <v>0</v>
      </c>
      <c r="AA178" s="48">
        <f t="shared" si="106"/>
        <v>0</v>
      </c>
      <c r="AB178" s="48">
        <f t="shared" si="106"/>
        <v>0</v>
      </c>
      <c r="AC178" s="48">
        <f t="shared" si="106"/>
        <v>0</v>
      </c>
      <c r="AD178" s="48">
        <f t="shared" si="106"/>
        <v>0</v>
      </c>
      <c r="AE178" s="48">
        <f t="shared" si="106"/>
        <v>0</v>
      </c>
      <c r="AF178" s="48">
        <f>IFERROR(R178/$G178,0)</f>
        <v>0</v>
      </c>
      <c r="AG178" s="48">
        <f>IFERROR(S178/$G178,0)</f>
        <v>0</v>
      </c>
      <c r="AH178" s="48">
        <f>IFERROR(T178/$G178,0)</f>
        <v>0</v>
      </c>
      <c r="AI178" s="47">
        <f t="shared" si="99"/>
        <v>0.31247211066488173</v>
      </c>
      <c r="AJ178" s="134">
        <f t="shared" si="100"/>
        <v>3.749665327978581</v>
      </c>
    </row>
    <row r="179" spans="1:43" ht="12" customHeight="1" x14ac:dyDescent="0.2">
      <c r="C179" s="40"/>
      <c r="D179" s="40"/>
      <c r="E179" s="11"/>
      <c r="F179" s="11"/>
      <c r="G179" s="11"/>
      <c r="H179" s="43"/>
      <c r="I179" s="46"/>
      <c r="J179" s="47"/>
      <c r="K179" s="48"/>
      <c r="L179" s="49"/>
      <c r="M179" s="49"/>
      <c r="U179" s="73"/>
      <c r="AI179" s="45"/>
    </row>
    <row r="180" spans="1:43" ht="12" customHeight="1" x14ac:dyDescent="0.2">
      <c r="D180" s="52" t="s">
        <v>28</v>
      </c>
      <c r="E180" s="11"/>
      <c r="F180" s="11"/>
      <c r="G180" s="11"/>
      <c r="H180" s="51"/>
      <c r="I180" s="74">
        <f t="shared" ref="I180:U180" si="107">SUM(I126:I179)</f>
        <v>6862.1199999999981</v>
      </c>
      <c r="J180" s="74">
        <f t="shared" si="107"/>
        <v>11507.029999999997</v>
      </c>
      <c r="K180" s="74">
        <f t="shared" si="107"/>
        <v>16373.230000000001</v>
      </c>
      <c r="L180" s="74">
        <f t="shared" si="107"/>
        <v>12313.369999999997</v>
      </c>
      <c r="M180" s="74">
        <f t="shared" si="107"/>
        <v>17221.669999999998</v>
      </c>
      <c r="N180" s="74">
        <f t="shared" si="107"/>
        <v>12036.089999999998</v>
      </c>
      <c r="O180" s="74">
        <f t="shared" si="107"/>
        <v>16087.99</v>
      </c>
      <c r="P180" s="74">
        <f t="shared" si="107"/>
        <v>11160.359999999999</v>
      </c>
      <c r="Q180" s="74">
        <f t="shared" si="107"/>
        <v>16591.88</v>
      </c>
      <c r="R180" s="74">
        <f t="shared" si="107"/>
        <v>12800.560000000001</v>
      </c>
      <c r="S180" s="74">
        <f t="shared" si="107"/>
        <v>12849.02</v>
      </c>
      <c r="T180" s="74">
        <f t="shared" si="107"/>
        <v>13159.870000000004</v>
      </c>
      <c r="U180" s="74">
        <f t="shared" si="107"/>
        <v>158963.19000000003</v>
      </c>
      <c r="W180" s="185">
        <f t="shared" ref="W180:AI180" si="108">SUM(W126:W155)</f>
        <v>87.511479764432821</v>
      </c>
      <c r="X180" s="185">
        <f t="shared" si="108"/>
        <v>89.01145001232625</v>
      </c>
      <c r="Y180" s="185">
        <f t="shared" si="108"/>
        <v>91.343214739717538</v>
      </c>
      <c r="Z180" s="185">
        <f t="shared" si="108"/>
        <v>92.593159054355354</v>
      </c>
      <c r="AA180" s="185">
        <f t="shared" si="108"/>
        <v>95.72056827089051</v>
      </c>
      <c r="AB180" s="185">
        <f t="shared" si="108"/>
        <v>97.720552747761047</v>
      </c>
      <c r="AC180" s="185">
        <f t="shared" si="108"/>
        <v>98.470608965729568</v>
      </c>
      <c r="AD180" s="185">
        <f t="shared" si="108"/>
        <v>99.72056827089051</v>
      </c>
      <c r="AE180" s="185">
        <f t="shared" si="108"/>
        <v>98.841110711874947</v>
      </c>
      <c r="AF180" s="185">
        <f t="shared" si="108"/>
        <v>104.26103854307665</v>
      </c>
      <c r="AG180" s="185">
        <f t="shared" si="108"/>
        <v>105.95145150216892</v>
      </c>
      <c r="AH180" s="185">
        <f t="shared" si="108"/>
        <v>105.41443980048932</v>
      </c>
      <c r="AI180" s="185">
        <f t="shared" si="108"/>
        <v>97.213303531976123</v>
      </c>
      <c r="AJ180" s="185">
        <f>SUM(AJ126:AJ155,AJ167)</f>
        <v>1301.2894890215425</v>
      </c>
      <c r="AM180" s="186">
        <f>SUM(AM126:AM155)</f>
        <v>43.52857962174545</v>
      </c>
      <c r="AO180" s="186">
        <f>SUM(AO126:AO155)</f>
        <v>52.733089667036609</v>
      </c>
      <c r="AQ180" s="186">
        <f>SUM(AQ126:AQ155)</f>
        <v>0</v>
      </c>
    </row>
    <row r="181" spans="1:43" ht="12" customHeight="1" x14ac:dyDescent="0.2">
      <c r="E181" s="11"/>
      <c r="F181" s="11"/>
      <c r="G181" s="11"/>
      <c r="H181" s="55"/>
      <c r="I181" s="46"/>
      <c r="J181" s="49" t="str">
        <f>IF(H181="","",(#REF!/H181)+(#REF!/#REF!))</f>
        <v/>
      </c>
      <c r="K181" s="49" t="str">
        <f>IF(H181="","",J181/12)</f>
        <v/>
      </c>
      <c r="U181" s="73"/>
      <c r="V181" s="73"/>
      <c r="W181" s="73"/>
      <c r="X181" s="73"/>
      <c r="Y181" s="73"/>
      <c r="Z181" s="73"/>
      <c r="AA181" s="73"/>
      <c r="AB181" s="73"/>
      <c r="AC181" s="73"/>
      <c r="AD181" s="73"/>
      <c r="AE181" s="73"/>
      <c r="AF181" s="73"/>
      <c r="AG181" s="73"/>
      <c r="AH181" s="73"/>
      <c r="AI181" s="73"/>
    </row>
    <row r="182" spans="1:43" ht="12" customHeight="1" x14ac:dyDescent="0.2">
      <c r="C182" s="71" t="s">
        <v>13</v>
      </c>
      <c r="D182" s="70" t="s">
        <v>13</v>
      </c>
      <c r="E182" s="11"/>
      <c r="F182" s="11"/>
      <c r="G182" s="11"/>
      <c r="H182" s="55"/>
      <c r="I182" s="46"/>
      <c r="J182" s="49" t="str">
        <f>IF(H182="","",(#REF!/H182)+(#REF!/#REF!))</f>
        <v/>
      </c>
      <c r="K182" s="49" t="str">
        <f>IF(H182="","",J182/12)</f>
        <v/>
      </c>
      <c r="U182" s="73"/>
      <c r="V182" s="73"/>
      <c r="W182" s="73"/>
      <c r="X182" s="73"/>
      <c r="Y182" s="73"/>
      <c r="Z182" s="73"/>
      <c r="AA182" s="73"/>
      <c r="AB182" s="73"/>
      <c r="AC182" s="73"/>
      <c r="AD182" s="73"/>
      <c r="AE182" s="73"/>
      <c r="AF182" s="73"/>
      <c r="AG182" s="73"/>
      <c r="AH182" s="73"/>
      <c r="AI182" s="73"/>
    </row>
    <row r="183" spans="1:43" ht="12" customHeight="1" x14ac:dyDescent="0.2">
      <c r="C183" s="71"/>
      <c r="D183" s="71"/>
      <c r="E183" s="11"/>
      <c r="F183" s="11"/>
      <c r="G183" s="11"/>
      <c r="H183" s="55"/>
      <c r="I183" s="46"/>
      <c r="J183" s="49" t="str">
        <f>IF(H183="","",(#REF!/H183)+(#REF!/#REF!))</f>
        <v/>
      </c>
      <c r="K183" s="49" t="str">
        <f>IF(H183="","",J183/12)</f>
        <v/>
      </c>
      <c r="U183" s="73"/>
    </row>
    <row r="184" spans="1:43" ht="12" customHeight="1" x14ac:dyDescent="0.2">
      <c r="C184" s="62" t="s">
        <v>657</v>
      </c>
      <c r="D184" s="62" t="s">
        <v>657</v>
      </c>
      <c r="E184" s="11"/>
      <c r="F184" s="11"/>
      <c r="G184" s="11"/>
      <c r="H184" s="55"/>
      <c r="I184" s="46"/>
      <c r="J184" s="49" t="str">
        <f>IF(H184="","",(#REF!/H184)+(#REF!/#REF!))</f>
        <v/>
      </c>
      <c r="K184" s="49" t="str">
        <f>IF(H184="","",J184/12)</f>
        <v/>
      </c>
      <c r="U184" s="73"/>
    </row>
    <row r="185" spans="1:43" ht="12" customHeight="1" x14ac:dyDescent="0.2">
      <c r="B185" s="1" t="str">
        <f t="shared" ref="B185:B217" si="109">"ridge"&amp;"roll off"&amp;C185</f>
        <v>ridgeroll offRER20YD</v>
      </c>
      <c r="C185" s="58" t="s">
        <v>712</v>
      </c>
      <c r="D185" s="58" t="s">
        <v>349</v>
      </c>
      <c r="E185" s="11">
        <v>144.31</v>
      </c>
      <c r="F185" s="11">
        <v>144.31</v>
      </c>
      <c r="G185" s="11">
        <v>154.99</v>
      </c>
      <c r="H185" s="55"/>
      <c r="I185" s="14">
        <v>577.24</v>
      </c>
      <c r="J185" s="14">
        <v>577.24</v>
      </c>
      <c r="K185" s="14">
        <v>288.62</v>
      </c>
      <c r="L185" s="14">
        <v>432.93</v>
      </c>
      <c r="M185" s="14">
        <v>721.55</v>
      </c>
      <c r="N185" s="14">
        <v>1443.1</v>
      </c>
      <c r="O185" s="14">
        <v>865.86</v>
      </c>
      <c r="P185" s="14">
        <v>1731.72</v>
      </c>
      <c r="Q185" s="14">
        <v>721.55</v>
      </c>
      <c r="R185" s="14">
        <v>309.98</v>
      </c>
      <c r="S185" s="14">
        <v>464.97</v>
      </c>
      <c r="T185" s="14">
        <v>309.98</v>
      </c>
      <c r="U185" s="73">
        <f t="shared" si="86"/>
        <v>8444.7400000000016</v>
      </c>
      <c r="W185" s="48">
        <f t="shared" ref="W185:W218" si="110">IFERROR(I185/$E185,0)</f>
        <v>4</v>
      </c>
      <c r="X185" s="48">
        <f t="shared" ref="X185:X218" si="111">IFERROR(J185/$E185,0)</f>
        <v>4</v>
      </c>
      <c r="Y185" s="48">
        <f t="shared" ref="Y185:Y218" si="112">IFERROR(K185/$E185,0)</f>
        <v>2</v>
      </c>
      <c r="Z185" s="48">
        <f t="shared" ref="Z185:Z218" si="113">IFERROR(L185/$F185,0)</f>
        <v>3</v>
      </c>
      <c r="AA185" s="48">
        <f t="shared" ref="AA185:AA218" si="114">IFERROR(M185/$F185,0)</f>
        <v>5</v>
      </c>
      <c r="AB185" s="48">
        <f t="shared" ref="AB185:AB218" si="115">IFERROR(N185/$F185,0)</f>
        <v>10</v>
      </c>
      <c r="AC185" s="48">
        <f t="shared" ref="AC185:AC218" si="116">IFERROR(O185/$F185,0)</f>
        <v>6</v>
      </c>
      <c r="AD185" s="48">
        <f t="shared" ref="AD185:AD218" si="117">IFERROR(P185/$F185,0)</f>
        <v>12</v>
      </c>
      <c r="AE185" s="48">
        <f t="shared" ref="AE185:AE218" si="118">IFERROR(Q185/$F185,0)</f>
        <v>5</v>
      </c>
      <c r="AF185" s="48">
        <f t="shared" ref="AF185:AF218" si="119">IFERROR(R185/$G185,0)</f>
        <v>2</v>
      </c>
      <c r="AG185" s="48">
        <f t="shared" ref="AG185:AG218" si="120">IFERROR(S185/$G185,0)</f>
        <v>3</v>
      </c>
      <c r="AH185" s="48">
        <f t="shared" ref="AH185:AH218" si="121">IFERROR(T185/$G185,0)</f>
        <v>2</v>
      </c>
      <c r="AI185" s="47">
        <f t="shared" ref="AI185:AI201" si="122">+IFERROR(AVERAGE(W185:AH185),0)</f>
        <v>4.833333333333333</v>
      </c>
      <c r="AJ185" s="134">
        <f t="shared" ref="AJ185:AJ204" si="123">SUM(W185:AH185)</f>
        <v>58</v>
      </c>
    </row>
    <row r="186" spans="1:43" ht="12" customHeight="1" x14ac:dyDescent="0.2">
      <c r="B186" s="1" t="str">
        <f t="shared" si="109"/>
        <v>ridgeroll offCER30YD</v>
      </c>
      <c r="C186" s="58" t="s">
        <v>306</v>
      </c>
      <c r="D186" s="58" t="s">
        <v>350</v>
      </c>
      <c r="E186" s="11">
        <v>151.91</v>
      </c>
      <c r="F186" s="11">
        <v>151.91</v>
      </c>
      <c r="G186" s="11">
        <v>163.15</v>
      </c>
      <c r="H186" s="55"/>
      <c r="I186" s="14">
        <v>0</v>
      </c>
      <c r="J186" s="14">
        <v>0</v>
      </c>
      <c r="K186" s="14">
        <v>0</v>
      </c>
      <c r="L186" s="14">
        <v>0</v>
      </c>
      <c r="M186" s="14">
        <v>0</v>
      </c>
      <c r="N186" s="14">
        <v>0</v>
      </c>
      <c r="O186" s="14">
        <v>0</v>
      </c>
      <c r="P186" s="14">
        <v>151.91</v>
      </c>
      <c r="Q186" s="14">
        <v>0</v>
      </c>
      <c r="R186" s="14">
        <v>0</v>
      </c>
      <c r="S186" s="14">
        <v>0</v>
      </c>
      <c r="T186" s="14">
        <v>0</v>
      </c>
      <c r="U186" s="73">
        <f t="shared" si="86"/>
        <v>151.91</v>
      </c>
      <c r="W186" s="48">
        <f t="shared" si="110"/>
        <v>0</v>
      </c>
      <c r="X186" s="48">
        <f t="shared" si="111"/>
        <v>0</v>
      </c>
      <c r="Y186" s="48">
        <f t="shared" si="112"/>
        <v>0</v>
      </c>
      <c r="Z186" s="48">
        <f t="shared" si="113"/>
        <v>0</v>
      </c>
      <c r="AA186" s="48">
        <f t="shared" si="114"/>
        <v>0</v>
      </c>
      <c r="AB186" s="48">
        <f t="shared" si="115"/>
        <v>0</v>
      </c>
      <c r="AC186" s="48">
        <f t="shared" si="116"/>
        <v>0</v>
      </c>
      <c r="AD186" s="48">
        <f t="shared" si="117"/>
        <v>1</v>
      </c>
      <c r="AE186" s="48">
        <f t="shared" si="118"/>
        <v>0</v>
      </c>
      <c r="AF186" s="48">
        <f t="shared" si="119"/>
        <v>0</v>
      </c>
      <c r="AG186" s="48">
        <f t="shared" si="120"/>
        <v>0</v>
      </c>
      <c r="AH186" s="48">
        <f t="shared" si="121"/>
        <v>0</v>
      </c>
      <c r="AI186" s="47">
        <f t="shared" si="122"/>
        <v>8.3333333333333329E-2</v>
      </c>
      <c r="AJ186" s="134">
        <f t="shared" si="123"/>
        <v>1</v>
      </c>
    </row>
    <row r="187" spans="1:43" ht="12" customHeight="1" x14ac:dyDescent="0.2">
      <c r="B187" s="1" t="str">
        <f t="shared" si="109"/>
        <v>ridgeroll offRER30YD</v>
      </c>
      <c r="C187" s="58" t="s">
        <v>713</v>
      </c>
      <c r="D187" s="58" t="s">
        <v>350</v>
      </c>
      <c r="E187" s="11">
        <v>151.91</v>
      </c>
      <c r="F187" s="11">
        <v>151.91</v>
      </c>
      <c r="G187" s="11">
        <v>163.15</v>
      </c>
      <c r="H187" s="55"/>
      <c r="I187" s="14">
        <v>5620.67</v>
      </c>
      <c r="J187" s="14">
        <v>6684.04</v>
      </c>
      <c r="K187" s="14">
        <v>7291.68</v>
      </c>
      <c r="L187" s="14">
        <v>6987.86</v>
      </c>
      <c r="M187" s="14">
        <v>6684.04</v>
      </c>
      <c r="N187" s="14">
        <v>5013.03</v>
      </c>
      <c r="O187" s="14">
        <v>6987.86</v>
      </c>
      <c r="P187" s="14">
        <v>6532.13</v>
      </c>
      <c r="Q187" s="14">
        <v>7139.77</v>
      </c>
      <c r="R187" s="14">
        <v>7656.81</v>
      </c>
      <c r="S187" s="14">
        <v>7341.75</v>
      </c>
      <c r="T187" s="14">
        <v>8973.25</v>
      </c>
      <c r="U187" s="73">
        <f t="shared" si="86"/>
        <v>82912.89</v>
      </c>
      <c r="W187" s="48">
        <f t="shared" si="110"/>
        <v>37</v>
      </c>
      <c r="X187" s="48">
        <f t="shared" si="111"/>
        <v>44</v>
      </c>
      <c r="Y187" s="48">
        <f t="shared" si="112"/>
        <v>48</v>
      </c>
      <c r="Z187" s="48">
        <f t="shared" si="113"/>
        <v>46</v>
      </c>
      <c r="AA187" s="48">
        <f t="shared" si="114"/>
        <v>44</v>
      </c>
      <c r="AB187" s="48">
        <f t="shared" si="115"/>
        <v>33</v>
      </c>
      <c r="AC187" s="48">
        <f t="shared" si="116"/>
        <v>46</v>
      </c>
      <c r="AD187" s="48">
        <f t="shared" si="117"/>
        <v>43</v>
      </c>
      <c r="AE187" s="48">
        <f t="shared" si="118"/>
        <v>47.000000000000007</v>
      </c>
      <c r="AF187" s="48">
        <f t="shared" si="119"/>
        <v>46.931106343855348</v>
      </c>
      <c r="AG187" s="48">
        <f t="shared" si="120"/>
        <v>45</v>
      </c>
      <c r="AH187" s="48">
        <f t="shared" si="121"/>
        <v>55</v>
      </c>
      <c r="AI187" s="47">
        <f t="shared" si="122"/>
        <v>44.57759219532128</v>
      </c>
      <c r="AJ187" s="134">
        <f t="shared" si="123"/>
        <v>534.93110634385539</v>
      </c>
    </row>
    <row r="188" spans="1:43" ht="12" customHeight="1" x14ac:dyDescent="0.2">
      <c r="B188" s="1" t="str">
        <f t="shared" si="109"/>
        <v>ridgeroll offCER40YD</v>
      </c>
      <c r="C188" s="58" t="s">
        <v>307</v>
      </c>
      <c r="D188" s="58" t="s">
        <v>351</v>
      </c>
      <c r="E188" s="11">
        <v>167.1</v>
      </c>
      <c r="F188" s="11">
        <v>167.1</v>
      </c>
      <c r="G188" s="11">
        <v>179.47</v>
      </c>
      <c r="H188" s="55"/>
      <c r="I188" s="14">
        <v>0</v>
      </c>
      <c r="J188" s="14">
        <v>0</v>
      </c>
      <c r="K188" s="14">
        <v>0</v>
      </c>
      <c r="L188" s="14">
        <v>0</v>
      </c>
      <c r="M188" s="14">
        <v>0</v>
      </c>
      <c r="N188" s="14">
        <v>0</v>
      </c>
      <c r="O188" s="14">
        <v>0</v>
      </c>
      <c r="P188" s="14">
        <v>0</v>
      </c>
      <c r="Q188" s="14">
        <v>0</v>
      </c>
      <c r="R188" s="14">
        <v>0</v>
      </c>
      <c r="S188" s="14">
        <v>0</v>
      </c>
      <c r="T188" s="14">
        <v>0</v>
      </c>
      <c r="U188" s="73">
        <f t="shared" si="86"/>
        <v>0</v>
      </c>
      <c r="W188" s="48">
        <f t="shared" si="110"/>
        <v>0</v>
      </c>
      <c r="X188" s="48">
        <f t="shared" si="111"/>
        <v>0</v>
      </c>
      <c r="Y188" s="48">
        <f t="shared" si="112"/>
        <v>0</v>
      </c>
      <c r="Z188" s="48">
        <f t="shared" si="113"/>
        <v>0</v>
      </c>
      <c r="AA188" s="48">
        <f t="shared" si="114"/>
        <v>0</v>
      </c>
      <c r="AB188" s="48">
        <f t="shared" si="115"/>
        <v>0</v>
      </c>
      <c r="AC188" s="48">
        <f t="shared" si="116"/>
        <v>0</v>
      </c>
      <c r="AD188" s="48">
        <f t="shared" si="117"/>
        <v>0</v>
      </c>
      <c r="AE188" s="48">
        <f t="shared" si="118"/>
        <v>0</v>
      </c>
      <c r="AF188" s="48">
        <f t="shared" si="119"/>
        <v>0</v>
      </c>
      <c r="AG188" s="48">
        <f t="shared" si="120"/>
        <v>0</v>
      </c>
      <c r="AH188" s="48">
        <f t="shared" si="121"/>
        <v>0</v>
      </c>
      <c r="AI188" s="47">
        <f t="shared" si="122"/>
        <v>0</v>
      </c>
      <c r="AJ188" s="134">
        <f t="shared" si="123"/>
        <v>0</v>
      </c>
    </row>
    <row r="189" spans="1:43" ht="12" customHeight="1" x14ac:dyDescent="0.2">
      <c r="B189" s="1" t="str">
        <f t="shared" si="109"/>
        <v>ridgeroll offRER40YD</v>
      </c>
      <c r="C189" s="58" t="s">
        <v>714</v>
      </c>
      <c r="D189" s="58" t="s">
        <v>351</v>
      </c>
      <c r="E189" s="11">
        <v>167.1</v>
      </c>
      <c r="F189" s="11">
        <v>167.1</v>
      </c>
      <c r="G189" s="11">
        <v>179.47</v>
      </c>
      <c r="H189" s="55"/>
      <c r="I189" s="14">
        <v>7853.7</v>
      </c>
      <c r="J189" s="14">
        <v>12198.3</v>
      </c>
      <c r="K189" s="14">
        <v>11362.8</v>
      </c>
      <c r="L189" s="14">
        <v>6516.9</v>
      </c>
      <c r="M189" s="14">
        <v>6182.7</v>
      </c>
      <c r="N189" s="14">
        <v>5681.4</v>
      </c>
      <c r="O189" s="14">
        <v>5180.1000000000004</v>
      </c>
      <c r="P189" s="14">
        <v>4845.8999999999996</v>
      </c>
      <c r="Q189" s="14">
        <v>4010.4</v>
      </c>
      <c r="R189" s="14">
        <v>4653.8500000000004</v>
      </c>
      <c r="S189" s="14">
        <v>5025.16</v>
      </c>
      <c r="T189" s="14">
        <v>5563.57</v>
      </c>
      <c r="U189" s="73">
        <f t="shared" si="86"/>
        <v>79074.78</v>
      </c>
      <c r="W189" s="48">
        <f t="shared" si="110"/>
        <v>47</v>
      </c>
      <c r="X189" s="48">
        <f t="shared" si="111"/>
        <v>73</v>
      </c>
      <c r="Y189" s="48">
        <f t="shared" si="112"/>
        <v>68</v>
      </c>
      <c r="Z189" s="48">
        <f t="shared" si="113"/>
        <v>39</v>
      </c>
      <c r="AA189" s="48">
        <f t="shared" si="114"/>
        <v>37</v>
      </c>
      <c r="AB189" s="48">
        <f t="shared" si="115"/>
        <v>34</v>
      </c>
      <c r="AC189" s="48">
        <f t="shared" si="116"/>
        <v>31.000000000000004</v>
      </c>
      <c r="AD189" s="48">
        <f t="shared" si="117"/>
        <v>29</v>
      </c>
      <c r="AE189" s="48">
        <f t="shared" si="118"/>
        <v>24</v>
      </c>
      <c r="AF189" s="48">
        <f t="shared" si="119"/>
        <v>25.931074831448154</v>
      </c>
      <c r="AG189" s="48">
        <f t="shared" si="120"/>
        <v>28</v>
      </c>
      <c r="AH189" s="48">
        <f t="shared" si="121"/>
        <v>31</v>
      </c>
      <c r="AI189" s="47">
        <f t="shared" si="122"/>
        <v>38.910922902620676</v>
      </c>
      <c r="AJ189" s="134">
        <f t="shared" si="123"/>
        <v>466.93107483144814</v>
      </c>
    </row>
    <row r="190" spans="1:43" ht="12" customHeight="1" x14ac:dyDescent="0.2">
      <c r="B190" s="1" t="str">
        <f>"ridge"&amp;"roll off"&amp;C190</f>
        <v>ridgeroll offRRV15YD</v>
      </c>
      <c r="C190" s="58" t="s">
        <v>1029</v>
      </c>
      <c r="D190" s="58" t="s">
        <v>355</v>
      </c>
      <c r="E190" s="11">
        <v>136.69999999999999</v>
      </c>
      <c r="F190" s="11">
        <v>136.69999999999999</v>
      </c>
      <c r="G190" s="11">
        <v>146.82</v>
      </c>
      <c r="H190" s="55"/>
      <c r="I190" s="14">
        <v>0</v>
      </c>
      <c r="J190" s="14">
        <v>0</v>
      </c>
      <c r="K190" s="14">
        <v>0</v>
      </c>
      <c r="L190" s="14">
        <v>0</v>
      </c>
      <c r="M190" s="14">
        <v>136.69999999999999</v>
      </c>
      <c r="N190" s="14">
        <v>0</v>
      </c>
      <c r="O190" s="14">
        <v>0</v>
      </c>
      <c r="P190" s="14">
        <v>0</v>
      </c>
      <c r="Q190" s="14">
        <v>0</v>
      </c>
      <c r="R190" s="14">
        <v>146.82</v>
      </c>
      <c r="S190" s="14">
        <v>0</v>
      </c>
      <c r="T190" s="14">
        <v>0</v>
      </c>
      <c r="U190" s="73">
        <f>SUM(I190:T190)</f>
        <v>283.52</v>
      </c>
      <c r="W190" s="48">
        <f t="shared" si="110"/>
        <v>0</v>
      </c>
      <c r="X190" s="48">
        <f t="shared" si="111"/>
        <v>0</v>
      </c>
      <c r="Y190" s="48">
        <f t="shared" si="112"/>
        <v>0</v>
      </c>
      <c r="Z190" s="48">
        <f t="shared" si="113"/>
        <v>0</v>
      </c>
      <c r="AA190" s="48">
        <f t="shared" si="114"/>
        <v>1</v>
      </c>
      <c r="AB190" s="48">
        <f t="shared" si="115"/>
        <v>0</v>
      </c>
      <c r="AC190" s="48">
        <f t="shared" si="116"/>
        <v>0</v>
      </c>
      <c r="AD190" s="48">
        <f t="shared" si="117"/>
        <v>0</v>
      </c>
      <c r="AE190" s="48">
        <f t="shared" si="118"/>
        <v>0</v>
      </c>
      <c r="AF190" s="48">
        <f t="shared" si="119"/>
        <v>1</v>
      </c>
      <c r="AG190" s="48">
        <f t="shared" si="120"/>
        <v>0</v>
      </c>
      <c r="AH190" s="48">
        <f t="shared" si="121"/>
        <v>0</v>
      </c>
      <c r="AI190" s="47">
        <f t="shared" si="122"/>
        <v>0.16666666666666666</v>
      </c>
      <c r="AJ190" s="134">
        <f t="shared" si="123"/>
        <v>2</v>
      </c>
    </row>
    <row r="191" spans="1:43" ht="12" customHeight="1" x14ac:dyDescent="0.2">
      <c r="B191" s="1" t="str">
        <f t="shared" si="109"/>
        <v>ridgeroll offRRV20YD</v>
      </c>
      <c r="C191" s="58" t="s">
        <v>715</v>
      </c>
      <c r="D191" s="58" t="s">
        <v>356</v>
      </c>
      <c r="E191" s="11">
        <v>144.31</v>
      </c>
      <c r="F191" s="11">
        <v>144.31</v>
      </c>
      <c r="G191" s="11">
        <v>154.99</v>
      </c>
      <c r="H191" s="55"/>
      <c r="I191" s="14">
        <v>721.55</v>
      </c>
      <c r="J191" s="14">
        <v>0</v>
      </c>
      <c r="K191" s="14">
        <v>144.31</v>
      </c>
      <c r="L191" s="14">
        <v>288.62</v>
      </c>
      <c r="M191" s="14">
        <v>865.86</v>
      </c>
      <c r="N191" s="14">
        <v>577.24</v>
      </c>
      <c r="O191" s="14">
        <v>144.31</v>
      </c>
      <c r="P191" s="14">
        <v>-22.17</v>
      </c>
      <c r="Q191" s="14">
        <v>144.31</v>
      </c>
      <c r="R191" s="14">
        <v>154.99</v>
      </c>
      <c r="S191" s="14">
        <v>0</v>
      </c>
      <c r="T191" s="14">
        <v>0</v>
      </c>
      <c r="U191" s="73">
        <f t="shared" si="86"/>
        <v>3019.0199999999995</v>
      </c>
      <c r="W191" s="48">
        <f t="shared" si="110"/>
        <v>5</v>
      </c>
      <c r="X191" s="48">
        <f t="shared" si="111"/>
        <v>0</v>
      </c>
      <c r="Y191" s="48">
        <f t="shared" si="112"/>
        <v>1</v>
      </c>
      <c r="Z191" s="48">
        <f t="shared" si="113"/>
        <v>2</v>
      </c>
      <c r="AA191" s="48">
        <f t="shared" si="114"/>
        <v>6</v>
      </c>
      <c r="AB191" s="48">
        <f t="shared" si="115"/>
        <v>4</v>
      </c>
      <c r="AC191" s="48">
        <f t="shared" si="116"/>
        <v>1</v>
      </c>
      <c r="AD191" s="48">
        <f t="shared" si="117"/>
        <v>-0.15362760723442589</v>
      </c>
      <c r="AE191" s="48">
        <f t="shared" si="118"/>
        <v>1</v>
      </c>
      <c r="AF191" s="48">
        <f t="shared" si="119"/>
        <v>1</v>
      </c>
      <c r="AG191" s="48">
        <f t="shared" si="120"/>
        <v>0</v>
      </c>
      <c r="AH191" s="48">
        <f t="shared" si="121"/>
        <v>0</v>
      </c>
      <c r="AI191" s="47">
        <f t="shared" si="122"/>
        <v>1.7371976993971312</v>
      </c>
      <c r="AJ191" s="134">
        <f t="shared" si="123"/>
        <v>20.846372392765574</v>
      </c>
    </row>
    <row r="192" spans="1:43" ht="12" customHeight="1" x14ac:dyDescent="0.2">
      <c r="B192" s="1" t="str">
        <f t="shared" si="109"/>
        <v>ridgeroll offRRV30YD</v>
      </c>
      <c r="C192" s="58" t="s">
        <v>716</v>
      </c>
      <c r="D192" s="58" t="s">
        <v>357</v>
      </c>
      <c r="E192" s="11">
        <v>151.91</v>
      </c>
      <c r="F192" s="11">
        <v>151.91</v>
      </c>
      <c r="G192" s="11">
        <v>163.15</v>
      </c>
      <c r="H192" s="55"/>
      <c r="I192" s="14">
        <v>151.91</v>
      </c>
      <c r="J192" s="14">
        <v>303.82</v>
      </c>
      <c r="K192" s="14">
        <v>607.64</v>
      </c>
      <c r="L192" s="14">
        <v>303.82</v>
      </c>
      <c r="M192" s="14">
        <v>607.64</v>
      </c>
      <c r="N192" s="14">
        <v>303.82</v>
      </c>
      <c r="O192" s="14">
        <v>151.91</v>
      </c>
      <c r="P192" s="14">
        <v>607.64</v>
      </c>
      <c r="Q192" s="14">
        <v>151.91</v>
      </c>
      <c r="R192" s="14">
        <v>163.15</v>
      </c>
      <c r="S192" s="14">
        <v>489.45</v>
      </c>
      <c r="T192" s="14">
        <v>652.6</v>
      </c>
      <c r="U192" s="73">
        <f t="shared" si="86"/>
        <v>4495.3099999999995</v>
      </c>
      <c r="W192" s="48">
        <f t="shared" si="110"/>
        <v>1</v>
      </c>
      <c r="X192" s="48">
        <f t="shared" si="111"/>
        <v>2</v>
      </c>
      <c r="Y192" s="48">
        <f t="shared" si="112"/>
        <v>4</v>
      </c>
      <c r="Z192" s="48">
        <f t="shared" si="113"/>
        <v>2</v>
      </c>
      <c r="AA192" s="48">
        <f t="shared" si="114"/>
        <v>4</v>
      </c>
      <c r="AB192" s="48">
        <f t="shared" si="115"/>
        <v>2</v>
      </c>
      <c r="AC192" s="48">
        <f t="shared" si="116"/>
        <v>1</v>
      </c>
      <c r="AD192" s="48">
        <f t="shared" si="117"/>
        <v>4</v>
      </c>
      <c r="AE192" s="48">
        <f t="shared" si="118"/>
        <v>1</v>
      </c>
      <c r="AF192" s="48">
        <f t="shared" si="119"/>
        <v>1</v>
      </c>
      <c r="AG192" s="48">
        <f t="shared" si="120"/>
        <v>3</v>
      </c>
      <c r="AH192" s="48">
        <f t="shared" si="121"/>
        <v>4</v>
      </c>
      <c r="AI192" s="47">
        <f t="shared" si="122"/>
        <v>2.4166666666666665</v>
      </c>
      <c r="AJ192" s="134">
        <f t="shared" si="123"/>
        <v>29</v>
      </c>
    </row>
    <row r="193" spans="2:43" ht="12" customHeight="1" x14ac:dyDescent="0.2">
      <c r="B193" s="1" t="str">
        <f t="shared" si="109"/>
        <v>ridgeroll offRRV40YD</v>
      </c>
      <c r="C193" s="58" t="s">
        <v>717</v>
      </c>
      <c r="D193" s="58" t="s">
        <v>358</v>
      </c>
      <c r="E193" s="11">
        <v>167.1</v>
      </c>
      <c r="F193" s="11">
        <v>167.1</v>
      </c>
      <c r="G193" s="11">
        <v>179.47</v>
      </c>
      <c r="H193" s="55"/>
      <c r="I193" s="14">
        <v>501.3</v>
      </c>
      <c r="J193" s="14">
        <v>167.1</v>
      </c>
      <c r="K193" s="14">
        <v>668.4</v>
      </c>
      <c r="L193" s="14">
        <v>334.2</v>
      </c>
      <c r="M193" s="14">
        <v>501.3</v>
      </c>
      <c r="N193" s="14">
        <v>334.2</v>
      </c>
      <c r="O193" s="14">
        <v>0</v>
      </c>
      <c r="P193" s="14">
        <v>167.1</v>
      </c>
      <c r="Q193" s="14">
        <v>501.3</v>
      </c>
      <c r="R193" s="14">
        <v>179.47</v>
      </c>
      <c r="S193" s="14">
        <v>358.94</v>
      </c>
      <c r="T193" s="14">
        <v>0</v>
      </c>
      <c r="U193" s="73">
        <f t="shared" si="86"/>
        <v>3713.31</v>
      </c>
      <c r="W193" s="48">
        <f t="shared" si="110"/>
        <v>3</v>
      </c>
      <c r="X193" s="48">
        <f t="shared" si="111"/>
        <v>1</v>
      </c>
      <c r="Y193" s="48">
        <f t="shared" si="112"/>
        <v>4</v>
      </c>
      <c r="Z193" s="48">
        <f t="shared" si="113"/>
        <v>2</v>
      </c>
      <c r="AA193" s="48">
        <f t="shared" si="114"/>
        <v>3</v>
      </c>
      <c r="AB193" s="48">
        <f t="shared" si="115"/>
        <v>2</v>
      </c>
      <c r="AC193" s="48">
        <f t="shared" si="116"/>
        <v>0</v>
      </c>
      <c r="AD193" s="48">
        <f t="shared" si="117"/>
        <v>1</v>
      </c>
      <c r="AE193" s="48">
        <f t="shared" si="118"/>
        <v>3</v>
      </c>
      <c r="AF193" s="48">
        <f t="shared" si="119"/>
        <v>1</v>
      </c>
      <c r="AG193" s="48">
        <f t="shared" si="120"/>
        <v>2</v>
      </c>
      <c r="AH193" s="48">
        <f t="shared" si="121"/>
        <v>0</v>
      </c>
      <c r="AI193" s="47">
        <f t="shared" si="122"/>
        <v>1.8333333333333333</v>
      </c>
      <c r="AJ193" s="134">
        <f t="shared" si="123"/>
        <v>22</v>
      </c>
    </row>
    <row r="194" spans="2:43" ht="12" customHeight="1" x14ac:dyDescent="0.2">
      <c r="B194" s="1" t="str">
        <f>"ridge"&amp;"roll off"&amp;C194</f>
        <v>ridgeroll offCTRV30YD</v>
      </c>
      <c r="C194" s="58" t="s">
        <v>320</v>
      </c>
      <c r="D194" s="58" t="s">
        <v>365</v>
      </c>
      <c r="E194" s="11">
        <v>156.11000000000001</v>
      </c>
      <c r="F194" s="11">
        <v>156.11000000000001</v>
      </c>
      <c r="G194" s="11">
        <v>163.15</v>
      </c>
      <c r="H194" s="55"/>
      <c r="I194" s="14">
        <v>0</v>
      </c>
      <c r="J194" s="14">
        <v>0</v>
      </c>
      <c r="K194" s="14">
        <v>0</v>
      </c>
      <c r="L194" s="14">
        <v>0</v>
      </c>
      <c r="M194" s="14">
        <v>0</v>
      </c>
      <c r="N194" s="14">
        <v>0</v>
      </c>
      <c r="O194" s="14">
        <v>0</v>
      </c>
      <c r="P194" s="14">
        <v>0</v>
      </c>
      <c r="Q194" s="14">
        <v>0</v>
      </c>
      <c r="R194" s="14">
        <v>0</v>
      </c>
      <c r="S194" s="14">
        <v>0</v>
      </c>
      <c r="T194" s="14">
        <v>179.47</v>
      </c>
      <c r="U194" s="73">
        <f>SUM(I194:T194)</f>
        <v>179.47</v>
      </c>
      <c r="W194" s="48">
        <f t="shared" si="110"/>
        <v>0</v>
      </c>
      <c r="X194" s="48">
        <f t="shared" si="111"/>
        <v>0</v>
      </c>
      <c r="Y194" s="48">
        <f t="shared" si="112"/>
        <v>0</v>
      </c>
      <c r="Z194" s="48">
        <f t="shared" si="113"/>
        <v>0</v>
      </c>
      <c r="AA194" s="48">
        <f t="shared" si="114"/>
        <v>0</v>
      </c>
      <c r="AB194" s="48">
        <f t="shared" si="115"/>
        <v>0</v>
      </c>
      <c r="AC194" s="48">
        <f t="shared" si="116"/>
        <v>0</v>
      </c>
      <c r="AD194" s="48">
        <f t="shared" si="117"/>
        <v>0</v>
      </c>
      <c r="AE194" s="48">
        <f t="shared" si="118"/>
        <v>0</v>
      </c>
      <c r="AF194" s="48">
        <f t="shared" si="119"/>
        <v>0</v>
      </c>
      <c r="AG194" s="48">
        <f t="shared" si="120"/>
        <v>0</v>
      </c>
      <c r="AH194" s="48">
        <f t="shared" si="121"/>
        <v>1.1000306466441925</v>
      </c>
      <c r="AI194" s="47">
        <f>+IFERROR(AVERAGE(W194:AH194),0)</f>
        <v>9.1669220553682706E-2</v>
      </c>
      <c r="AJ194" s="134">
        <f>SUM(W194:AH194)</f>
        <v>1.1000306466441925</v>
      </c>
    </row>
    <row r="195" spans="2:43" ht="12" customHeight="1" x14ac:dyDescent="0.2">
      <c r="B195" s="1" t="str">
        <f t="shared" si="109"/>
        <v>ridgeroll offVHAUL40</v>
      </c>
      <c r="C195" s="58" t="s">
        <v>310</v>
      </c>
      <c r="D195" s="58" t="s">
        <v>354</v>
      </c>
      <c r="E195" s="11">
        <v>156.11000000000001</v>
      </c>
      <c r="F195" s="11">
        <v>156.11000000000001</v>
      </c>
      <c r="G195" s="11">
        <v>179.47</v>
      </c>
      <c r="H195" s="55"/>
      <c r="I195" s="14">
        <v>0</v>
      </c>
      <c r="J195" s="14">
        <v>0</v>
      </c>
      <c r="K195" s="14">
        <v>0</v>
      </c>
      <c r="L195" s="14">
        <v>0</v>
      </c>
      <c r="M195" s="14">
        <v>0</v>
      </c>
      <c r="N195" s="14">
        <v>0</v>
      </c>
      <c r="O195" s="14">
        <v>0</v>
      </c>
      <c r="P195" s="14">
        <v>167.1</v>
      </c>
      <c r="Q195" s="14">
        <v>0</v>
      </c>
      <c r="R195" s="14">
        <v>0</v>
      </c>
      <c r="S195" s="14">
        <v>0</v>
      </c>
      <c r="T195" s="14">
        <v>0</v>
      </c>
      <c r="U195" s="73">
        <f t="shared" si="86"/>
        <v>167.1</v>
      </c>
      <c r="W195" s="48">
        <f t="shared" si="110"/>
        <v>0</v>
      </c>
      <c r="X195" s="48">
        <f t="shared" si="111"/>
        <v>0</v>
      </c>
      <c r="Y195" s="48">
        <f t="shared" si="112"/>
        <v>0</v>
      </c>
      <c r="Z195" s="48">
        <f t="shared" si="113"/>
        <v>0</v>
      </c>
      <c r="AA195" s="48">
        <f t="shared" si="114"/>
        <v>0</v>
      </c>
      <c r="AB195" s="48">
        <f t="shared" si="115"/>
        <v>0</v>
      </c>
      <c r="AC195" s="48">
        <f t="shared" si="116"/>
        <v>0</v>
      </c>
      <c r="AD195" s="48">
        <f t="shared" si="117"/>
        <v>1.0703990775735057</v>
      </c>
      <c r="AE195" s="48">
        <f t="shared" si="118"/>
        <v>0</v>
      </c>
      <c r="AF195" s="48">
        <f t="shared" si="119"/>
        <v>0</v>
      </c>
      <c r="AG195" s="48">
        <f t="shared" si="120"/>
        <v>0</v>
      </c>
      <c r="AH195" s="48">
        <f t="shared" si="121"/>
        <v>0</v>
      </c>
      <c r="AI195" s="47">
        <f t="shared" si="122"/>
        <v>8.9199923131125472E-2</v>
      </c>
      <c r="AJ195" s="134">
        <f t="shared" si="123"/>
        <v>1.0703990775735057</v>
      </c>
    </row>
    <row r="196" spans="2:43" ht="12" customHeight="1" x14ac:dyDescent="0.2">
      <c r="B196" s="1" t="str">
        <f t="shared" ref="B196:B201" si="124">"ridge"&amp;"roll off"&amp;C196</f>
        <v>ridgeroll offCCOMP20</v>
      </c>
      <c r="C196" s="58" t="s">
        <v>323</v>
      </c>
      <c r="D196" s="58" t="s">
        <v>368</v>
      </c>
      <c r="E196" s="11">
        <v>166.86</v>
      </c>
      <c r="F196" s="11">
        <v>166.86</v>
      </c>
      <c r="G196" s="11">
        <v>179.21</v>
      </c>
      <c r="H196" s="55"/>
      <c r="I196" s="14">
        <v>500.58</v>
      </c>
      <c r="J196" s="14">
        <v>834.3</v>
      </c>
      <c r="K196" s="14">
        <v>667.44</v>
      </c>
      <c r="L196" s="14">
        <v>667.44</v>
      </c>
      <c r="M196" s="14">
        <v>834.3</v>
      </c>
      <c r="N196" s="14">
        <v>500.58</v>
      </c>
      <c r="O196" s="14">
        <v>500.58</v>
      </c>
      <c r="P196" s="14">
        <v>333.72</v>
      </c>
      <c r="Q196" s="14">
        <v>500.58</v>
      </c>
      <c r="R196" s="14">
        <v>883.7</v>
      </c>
      <c r="S196" s="14">
        <v>537.63</v>
      </c>
      <c r="T196" s="14">
        <v>537.63</v>
      </c>
      <c r="U196" s="73">
        <f t="shared" si="86"/>
        <v>7298.4800000000005</v>
      </c>
      <c r="W196" s="48">
        <f t="shared" si="110"/>
        <v>2.9999999999999996</v>
      </c>
      <c r="X196" s="48">
        <f t="shared" si="111"/>
        <v>4.9999999999999991</v>
      </c>
      <c r="Y196" s="48">
        <f t="shared" si="112"/>
        <v>4</v>
      </c>
      <c r="Z196" s="48">
        <f t="shared" si="113"/>
        <v>4</v>
      </c>
      <c r="AA196" s="48">
        <f t="shared" si="114"/>
        <v>4.9999999999999991</v>
      </c>
      <c r="AB196" s="48">
        <f t="shared" si="115"/>
        <v>2.9999999999999996</v>
      </c>
      <c r="AC196" s="48">
        <f t="shared" si="116"/>
        <v>2.9999999999999996</v>
      </c>
      <c r="AD196" s="48">
        <f t="shared" si="117"/>
        <v>2</v>
      </c>
      <c r="AE196" s="48">
        <f t="shared" si="118"/>
        <v>2.9999999999999996</v>
      </c>
      <c r="AF196" s="48">
        <f t="shared" si="119"/>
        <v>4.9310864349087664</v>
      </c>
      <c r="AG196" s="48">
        <f t="shared" si="120"/>
        <v>3</v>
      </c>
      <c r="AH196" s="48">
        <f t="shared" si="121"/>
        <v>3</v>
      </c>
      <c r="AI196" s="47">
        <f t="shared" si="122"/>
        <v>3.577590536242397</v>
      </c>
      <c r="AJ196" s="134">
        <f t="shared" si="123"/>
        <v>42.931086434908764</v>
      </c>
    </row>
    <row r="197" spans="2:43" ht="12" customHeight="1" x14ac:dyDescent="0.2">
      <c r="B197" s="1" t="str">
        <f t="shared" si="124"/>
        <v>ridgeroll offCCOMP25</v>
      </c>
      <c r="C197" s="58" t="s">
        <v>324</v>
      </c>
      <c r="D197" s="58" t="s">
        <v>369</v>
      </c>
      <c r="E197" s="11">
        <v>185.9</v>
      </c>
      <c r="F197" s="11">
        <v>185.9</v>
      </c>
      <c r="G197" s="11">
        <v>199.66</v>
      </c>
      <c r="H197" s="55"/>
      <c r="I197" s="14">
        <v>3160.3</v>
      </c>
      <c r="J197" s="14">
        <v>3532.1</v>
      </c>
      <c r="K197" s="14">
        <v>3718</v>
      </c>
      <c r="L197" s="14">
        <v>2974.4</v>
      </c>
      <c r="M197" s="14">
        <v>3718</v>
      </c>
      <c r="N197" s="14">
        <v>2788.5</v>
      </c>
      <c r="O197" s="14">
        <v>3718</v>
      </c>
      <c r="P197" s="14">
        <v>2974.4</v>
      </c>
      <c r="Q197" s="14">
        <v>2416.6999999999998</v>
      </c>
      <c r="R197" s="14">
        <v>2767.72</v>
      </c>
      <c r="S197" s="14">
        <v>2795.24</v>
      </c>
      <c r="T197" s="14">
        <v>2196.2600000000002</v>
      </c>
      <c r="U197" s="73">
        <f t="shared" si="86"/>
        <v>36759.620000000003</v>
      </c>
      <c r="W197" s="48">
        <f t="shared" si="110"/>
        <v>17</v>
      </c>
      <c r="X197" s="48">
        <f t="shared" si="111"/>
        <v>19</v>
      </c>
      <c r="Y197" s="48">
        <f t="shared" si="112"/>
        <v>20</v>
      </c>
      <c r="Z197" s="48">
        <f t="shared" si="113"/>
        <v>16</v>
      </c>
      <c r="AA197" s="48">
        <f t="shared" si="114"/>
        <v>20</v>
      </c>
      <c r="AB197" s="48">
        <f t="shared" si="115"/>
        <v>15</v>
      </c>
      <c r="AC197" s="48">
        <f t="shared" si="116"/>
        <v>20</v>
      </c>
      <c r="AD197" s="48">
        <f t="shared" si="117"/>
        <v>16</v>
      </c>
      <c r="AE197" s="48">
        <f t="shared" si="118"/>
        <v>12.999999999999998</v>
      </c>
      <c r="AF197" s="48">
        <f t="shared" si="119"/>
        <v>13.862165681658819</v>
      </c>
      <c r="AG197" s="48">
        <f t="shared" si="120"/>
        <v>14</v>
      </c>
      <c r="AH197" s="48">
        <f t="shared" si="121"/>
        <v>11.000000000000002</v>
      </c>
      <c r="AI197" s="47">
        <f t="shared" si="122"/>
        <v>16.2385138068049</v>
      </c>
      <c r="AJ197" s="134">
        <f t="shared" si="123"/>
        <v>194.86216568165881</v>
      </c>
    </row>
    <row r="198" spans="2:43" ht="12" customHeight="1" x14ac:dyDescent="0.2">
      <c r="B198" s="1" t="str">
        <f t="shared" si="124"/>
        <v>ridgeroll offCCOMP30</v>
      </c>
      <c r="C198" s="58" t="s">
        <v>325</v>
      </c>
      <c r="D198" s="58" t="s">
        <v>370</v>
      </c>
      <c r="E198" s="11">
        <v>185.9</v>
      </c>
      <c r="F198" s="11">
        <v>185.9</v>
      </c>
      <c r="G198" s="11">
        <v>199.66</v>
      </c>
      <c r="H198" s="55"/>
      <c r="I198" s="14">
        <v>371.8</v>
      </c>
      <c r="J198" s="14">
        <v>557.70000000000005</v>
      </c>
      <c r="K198" s="14">
        <v>185.9</v>
      </c>
      <c r="L198" s="14">
        <v>557.70000000000005</v>
      </c>
      <c r="M198" s="14">
        <v>371.8</v>
      </c>
      <c r="N198" s="14">
        <v>557.70000000000005</v>
      </c>
      <c r="O198" s="14">
        <v>743.6</v>
      </c>
      <c r="P198" s="14">
        <v>557.70000000000005</v>
      </c>
      <c r="Q198" s="14">
        <v>557.70000000000005</v>
      </c>
      <c r="R198" s="14">
        <v>598.98</v>
      </c>
      <c r="S198" s="14">
        <v>798.64</v>
      </c>
      <c r="T198" s="14">
        <v>798.64</v>
      </c>
      <c r="U198" s="73">
        <f>SUM(I198:T198)</f>
        <v>6657.8600000000006</v>
      </c>
      <c r="W198" s="48">
        <f t="shared" si="110"/>
        <v>2</v>
      </c>
      <c r="X198" s="48">
        <f t="shared" si="111"/>
        <v>3</v>
      </c>
      <c r="Y198" s="48">
        <f t="shared" si="112"/>
        <v>1</v>
      </c>
      <c r="Z198" s="48">
        <f t="shared" si="113"/>
        <v>3</v>
      </c>
      <c r="AA198" s="48">
        <f t="shared" si="114"/>
        <v>2</v>
      </c>
      <c r="AB198" s="48">
        <f t="shared" si="115"/>
        <v>3</v>
      </c>
      <c r="AC198" s="48">
        <f t="shared" si="116"/>
        <v>4</v>
      </c>
      <c r="AD198" s="48">
        <f t="shared" si="117"/>
        <v>3</v>
      </c>
      <c r="AE198" s="48">
        <f t="shared" si="118"/>
        <v>3</v>
      </c>
      <c r="AF198" s="48">
        <f t="shared" si="119"/>
        <v>3</v>
      </c>
      <c r="AG198" s="48">
        <f t="shared" si="120"/>
        <v>4</v>
      </c>
      <c r="AH198" s="48">
        <f t="shared" si="121"/>
        <v>4</v>
      </c>
      <c r="AI198" s="47">
        <f t="shared" si="122"/>
        <v>2.9166666666666665</v>
      </c>
      <c r="AJ198" s="134">
        <f t="shared" si="123"/>
        <v>35</v>
      </c>
    </row>
    <row r="199" spans="2:43" ht="12" customHeight="1" x14ac:dyDescent="0.2">
      <c r="B199" s="1" t="str">
        <f t="shared" si="124"/>
        <v>ridgeroll offCCOMP35</v>
      </c>
      <c r="C199" s="58" t="s">
        <v>1064</v>
      </c>
      <c r="D199" s="58" t="s">
        <v>1065</v>
      </c>
      <c r="E199" s="11">
        <v>185.9</v>
      </c>
      <c r="F199" s="11">
        <v>185.9</v>
      </c>
      <c r="G199" s="11">
        <v>199.66</v>
      </c>
      <c r="H199" s="55"/>
      <c r="I199" s="14">
        <v>0</v>
      </c>
      <c r="J199" s="14">
        <v>0</v>
      </c>
      <c r="K199" s="14">
        <v>185.9</v>
      </c>
      <c r="L199" s="14">
        <v>0</v>
      </c>
      <c r="M199" s="14">
        <v>0</v>
      </c>
      <c r="N199" s="14">
        <v>0</v>
      </c>
      <c r="O199" s="14">
        <v>0</v>
      </c>
      <c r="P199" s="14">
        <v>0</v>
      </c>
      <c r="Q199" s="14">
        <v>0</v>
      </c>
      <c r="R199" s="14">
        <v>0</v>
      </c>
      <c r="S199" s="14">
        <v>0</v>
      </c>
      <c r="T199" s="14">
        <v>0</v>
      </c>
      <c r="U199" s="73">
        <f>SUM(I199:T199)</f>
        <v>185.9</v>
      </c>
      <c r="W199" s="48">
        <f t="shared" si="110"/>
        <v>0</v>
      </c>
      <c r="X199" s="48">
        <f t="shared" si="111"/>
        <v>0</v>
      </c>
      <c r="Y199" s="48">
        <f t="shared" si="112"/>
        <v>1</v>
      </c>
      <c r="Z199" s="48">
        <f t="shared" si="113"/>
        <v>0</v>
      </c>
      <c r="AA199" s="48">
        <f t="shared" si="114"/>
        <v>0</v>
      </c>
      <c r="AB199" s="48">
        <f t="shared" si="115"/>
        <v>0</v>
      </c>
      <c r="AC199" s="48">
        <f t="shared" si="116"/>
        <v>0</v>
      </c>
      <c r="AD199" s="48">
        <f t="shared" si="117"/>
        <v>0</v>
      </c>
      <c r="AE199" s="48">
        <f t="shared" si="118"/>
        <v>0</v>
      </c>
      <c r="AF199" s="48">
        <f t="shared" si="119"/>
        <v>0</v>
      </c>
      <c r="AG199" s="48">
        <f t="shared" si="120"/>
        <v>0</v>
      </c>
      <c r="AH199" s="48">
        <f t="shared" si="121"/>
        <v>0</v>
      </c>
      <c r="AI199" s="47">
        <f>+IFERROR(AVERAGE(W199:AH199),0)</f>
        <v>8.3333333333333329E-2</v>
      </c>
      <c r="AJ199" s="134">
        <f>SUM(W199:AH199)</f>
        <v>1</v>
      </c>
    </row>
    <row r="200" spans="2:43" ht="12" customHeight="1" x14ac:dyDescent="0.2">
      <c r="B200" s="1" t="str">
        <f t="shared" si="124"/>
        <v>ridgeroll offCCOMP40</v>
      </c>
      <c r="C200" s="58" t="s">
        <v>326</v>
      </c>
      <c r="D200" s="58" t="s">
        <v>371</v>
      </c>
      <c r="E200" s="11">
        <v>185.9</v>
      </c>
      <c r="F200" s="11">
        <v>185.9</v>
      </c>
      <c r="G200" s="11">
        <v>199.66</v>
      </c>
      <c r="H200" s="55"/>
      <c r="I200" s="14">
        <v>557.70000000000005</v>
      </c>
      <c r="J200" s="14">
        <v>743.6</v>
      </c>
      <c r="K200" s="14">
        <v>743.6</v>
      </c>
      <c r="L200" s="14">
        <v>371.8</v>
      </c>
      <c r="M200" s="14">
        <v>557.70000000000005</v>
      </c>
      <c r="N200" s="14">
        <v>557.70000000000005</v>
      </c>
      <c r="O200" s="14">
        <v>557.70000000000005</v>
      </c>
      <c r="P200" s="14">
        <v>1115.4000000000001</v>
      </c>
      <c r="Q200" s="14">
        <v>929.5</v>
      </c>
      <c r="R200" s="14">
        <v>598.98</v>
      </c>
      <c r="S200" s="14">
        <v>1197.96</v>
      </c>
      <c r="T200" s="14">
        <v>998.3</v>
      </c>
      <c r="U200" s="73">
        <f t="shared" si="86"/>
        <v>8929.94</v>
      </c>
      <c r="W200" s="48">
        <f t="shared" si="110"/>
        <v>3</v>
      </c>
      <c r="X200" s="48">
        <f t="shared" si="111"/>
        <v>4</v>
      </c>
      <c r="Y200" s="48">
        <f t="shared" si="112"/>
        <v>4</v>
      </c>
      <c r="Z200" s="48">
        <f t="shared" si="113"/>
        <v>2</v>
      </c>
      <c r="AA200" s="48">
        <f t="shared" si="114"/>
        <v>3</v>
      </c>
      <c r="AB200" s="48">
        <f t="shared" si="115"/>
        <v>3</v>
      </c>
      <c r="AC200" s="48">
        <f t="shared" si="116"/>
        <v>3</v>
      </c>
      <c r="AD200" s="48">
        <f t="shared" si="117"/>
        <v>6</v>
      </c>
      <c r="AE200" s="48">
        <f t="shared" si="118"/>
        <v>5</v>
      </c>
      <c r="AF200" s="48">
        <f t="shared" si="119"/>
        <v>3</v>
      </c>
      <c r="AG200" s="48">
        <f t="shared" si="120"/>
        <v>6</v>
      </c>
      <c r="AH200" s="48">
        <f t="shared" si="121"/>
        <v>5</v>
      </c>
      <c r="AI200" s="47">
        <f t="shared" si="122"/>
        <v>3.9166666666666665</v>
      </c>
      <c r="AJ200" s="134">
        <f t="shared" si="123"/>
        <v>47</v>
      </c>
    </row>
    <row r="201" spans="2:43" ht="12" customHeight="1" x14ac:dyDescent="0.2">
      <c r="B201" s="1" t="str">
        <f t="shared" si="124"/>
        <v>ridgeroll offCTER40YD</v>
      </c>
      <c r="C201" s="58" t="s">
        <v>317</v>
      </c>
      <c r="D201" s="58" t="s">
        <v>362</v>
      </c>
      <c r="E201" s="11">
        <v>167.1</v>
      </c>
      <c r="F201" s="11">
        <v>167.1</v>
      </c>
      <c r="G201" s="11">
        <v>179.47</v>
      </c>
      <c r="H201" s="55"/>
      <c r="I201" s="14">
        <v>0</v>
      </c>
      <c r="J201" s="14">
        <v>0</v>
      </c>
      <c r="K201" s="14">
        <v>0</v>
      </c>
      <c r="L201" s="14">
        <v>0</v>
      </c>
      <c r="M201" s="14">
        <v>0</v>
      </c>
      <c r="N201" s="14">
        <v>0</v>
      </c>
      <c r="O201" s="14">
        <v>0</v>
      </c>
      <c r="P201" s="14">
        <v>0</v>
      </c>
      <c r="Q201" s="14">
        <v>0</v>
      </c>
      <c r="R201" s="14">
        <v>0</v>
      </c>
      <c r="S201" s="14">
        <v>0</v>
      </c>
      <c r="T201" s="14">
        <v>0</v>
      </c>
      <c r="U201" s="73">
        <f>SUM(I201:T201)</f>
        <v>0</v>
      </c>
      <c r="W201" s="48">
        <f t="shared" si="110"/>
        <v>0</v>
      </c>
      <c r="X201" s="48">
        <f t="shared" si="111"/>
        <v>0</v>
      </c>
      <c r="Y201" s="48">
        <f t="shared" si="112"/>
        <v>0</v>
      </c>
      <c r="Z201" s="48">
        <f t="shared" si="113"/>
        <v>0</v>
      </c>
      <c r="AA201" s="48">
        <f t="shared" si="114"/>
        <v>0</v>
      </c>
      <c r="AB201" s="48">
        <f t="shared" si="115"/>
        <v>0</v>
      </c>
      <c r="AC201" s="48">
        <f t="shared" si="116"/>
        <v>0</v>
      </c>
      <c r="AD201" s="48">
        <f t="shared" si="117"/>
        <v>0</v>
      </c>
      <c r="AE201" s="48">
        <f t="shared" si="118"/>
        <v>0</v>
      </c>
      <c r="AF201" s="48">
        <f t="shared" si="119"/>
        <v>0</v>
      </c>
      <c r="AG201" s="48">
        <f t="shared" si="120"/>
        <v>0</v>
      </c>
      <c r="AH201" s="48">
        <f t="shared" si="121"/>
        <v>0</v>
      </c>
      <c r="AI201" s="47">
        <f t="shared" si="122"/>
        <v>0</v>
      </c>
      <c r="AJ201" s="134">
        <f t="shared" si="123"/>
        <v>0</v>
      </c>
    </row>
    <row r="202" spans="2:43" s="253" customFormat="1" ht="12" customHeight="1" x14ac:dyDescent="0.2">
      <c r="B202" s="241" t="str">
        <f t="shared" si="109"/>
        <v>ridgeroll offRDEM20</v>
      </c>
      <c r="C202" s="232" t="s">
        <v>718</v>
      </c>
      <c r="D202" s="232" t="s">
        <v>374</v>
      </c>
      <c r="E202" s="238">
        <v>98.76</v>
      </c>
      <c r="F202" s="238">
        <v>98.76</v>
      </c>
      <c r="G202" s="238">
        <v>106.07</v>
      </c>
      <c r="H202" s="261"/>
      <c r="I202" s="243">
        <v>526.71</v>
      </c>
      <c r="J202" s="243">
        <v>421.37</v>
      </c>
      <c r="K202" s="243">
        <v>467.46</v>
      </c>
      <c r="L202" s="243">
        <v>664.97</v>
      </c>
      <c r="M202" s="243">
        <v>747.24</v>
      </c>
      <c r="N202" s="243">
        <v>711.07</v>
      </c>
      <c r="O202" s="243">
        <v>582.69000000000005</v>
      </c>
      <c r="P202" s="243">
        <v>592.55999999999995</v>
      </c>
      <c r="Q202" s="243">
        <v>651.82000000000005</v>
      </c>
      <c r="R202" s="243">
        <v>654.1</v>
      </c>
      <c r="S202" s="243">
        <v>636.41999999999996</v>
      </c>
      <c r="T202" s="243">
        <v>593.99</v>
      </c>
      <c r="U202" s="263">
        <f t="shared" si="86"/>
        <v>7250.4</v>
      </c>
      <c r="W202" s="264">
        <f t="shared" si="110"/>
        <v>5.3332320777642774</v>
      </c>
      <c r="X202" s="264">
        <f t="shared" si="111"/>
        <v>4.2666059133252325</v>
      </c>
      <c r="Y202" s="264">
        <f t="shared" si="112"/>
        <v>4.7332928311057101</v>
      </c>
      <c r="Z202" s="264">
        <f t="shared" si="113"/>
        <v>6.7331915755366545</v>
      </c>
      <c r="AA202" s="264">
        <f t="shared" si="114"/>
        <v>7.5662211421628189</v>
      </c>
      <c r="AB202" s="264">
        <f t="shared" si="115"/>
        <v>7.1999797488861885</v>
      </c>
      <c r="AC202" s="264">
        <f t="shared" si="116"/>
        <v>5.9000607533414344</v>
      </c>
      <c r="AD202" s="264">
        <f t="shared" si="117"/>
        <v>5.9999999999999991</v>
      </c>
      <c r="AE202" s="264">
        <f t="shared" si="118"/>
        <v>6.600040502227623</v>
      </c>
      <c r="AF202" s="264">
        <f t="shared" si="119"/>
        <v>6.166682379560668</v>
      </c>
      <c r="AG202" s="264">
        <f t="shared" si="120"/>
        <v>6</v>
      </c>
      <c r="AH202" s="264">
        <f t="shared" si="121"/>
        <v>5.5999811445271996</v>
      </c>
      <c r="AI202" s="265">
        <f>+IFERROR(AVERAGE(W202:AH202),0)</f>
        <v>6.008274005703151</v>
      </c>
      <c r="AJ202" s="266">
        <f t="shared" si="123"/>
        <v>72.099288068437815</v>
      </c>
      <c r="AL202" s="241">
        <v>0</v>
      </c>
      <c r="AM202" s="240">
        <f>+$AI202*AL202</f>
        <v>0</v>
      </c>
      <c r="AN202" s="241">
        <v>0</v>
      </c>
      <c r="AO202" s="240">
        <f>+$AI202*AN202</f>
        <v>0</v>
      </c>
      <c r="AP202" s="241">
        <v>1</v>
      </c>
      <c r="AQ202" s="240">
        <f>+$AI202*AP202</f>
        <v>6.008274005703151</v>
      </c>
    </row>
    <row r="203" spans="2:43" s="253" customFormat="1" ht="12" customHeight="1" x14ac:dyDescent="0.2">
      <c r="B203" s="241" t="str">
        <f t="shared" si="109"/>
        <v>ridgeroll offRDEM30</v>
      </c>
      <c r="C203" s="232" t="s">
        <v>719</v>
      </c>
      <c r="D203" s="232" t="s">
        <v>375</v>
      </c>
      <c r="E203" s="238">
        <v>98.76</v>
      </c>
      <c r="F203" s="238">
        <v>98.76</v>
      </c>
      <c r="G203" s="238">
        <v>106.07</v>
      </c>
      <c r="H203" s="261"/>
      <c r="I203" s="243">
        <v>849.33</v>
      </c>
      <c r="J203" s="243">
        <v>957.95</v>
      </c>
      <c r="K203" s="243">
        <v>1040.26</v>
      </c>
      <c r="L203" s="243">
        <v>1250.94</v>
      </c>
      <c r="M203" s="243">
        <v>1418.83</v>
      </c>
      <c r="N203" s="243">
        <v>1494.5600000000002</v>
      </c>
      <c r="O203" s="243">
        <v>1333.26</v>
      </c>
      <c r="P203" s="243">
        <v>1175.25</v>
      </c>
      <c r="Q203" s="243">
        <v>1007.35</v>
      </c>
      <c r="R203" s="243">
        <v>1272.8399999999999</v>
      </c>
      <c r="S203" s="243">
        <v>211.47000000000003</v>
      </c>
      <c r="T203" s="243">
        <v>1456.7</v>
      </c>
      <c r="U203" s="263">
        <f t="shared" si="86"/>
        <v>13468.74</v>
      </c>
      <c r="W203" s="264">
        <f t="shared" si="110"/>
        <v>8.5999392466585665</v>
      </c>
      <c r="X203" s="264">
        <f t="shared" si="111"/>
        <v>9.6997772377480764</v>
      </c>
      <c r="Y203" s="264">
        <f t="shared" si="112"/>
        <v>10.533211826650465</v>
      </c>
      <c r="Z203" s="264">
        <f t="shared" si="113"/>
        <v>12.666464155528553</v>
      </c>
      <c r="AA203" s="264">
        <f t="shared" si="114"/>
        <v>14.366443904414741</v>
      </c>
      <c r="AB203" s="264">
        <f t="shared" si="115"/>
        <v>15.13325232887809</v>
      </c>
      <c r="AC203" s="264">
        <f t="shared" si="116"/>
        <v>13.5</v>
      </c>
      <c r="AD203" s="264">
        <f t="shared" si="117"/>
        <v>11.900060753341434</v>
      </c>
      <c r="AE203" s="264">
        <f t="shared" si="118"/>
        <v>10.199979748886188</v>
      </c>
      <c r="AF203" s="264">
        <f t="shared" si="119"/>
        <v>12</v>
      </c>
      <c r="AG203" s="264">
        <f t="shared" si="120"/>
        <v>1.9936834166116719</v>
      </c>
      <c r="AH203" s="264">
        <f t="shared" si="121"/>
        <v>13.733383614594137</v>
      </c>
      <c r="AI203" s="265">
        <f t="shared" ref="AI203:AI218" si="125">+IFERROR(AVERAGE(W203:AH203),0)</f>
        <v>11.193849686109326</v>
      </c>
      <c r="AJ203" s="266">
        <f t="shared" si="123"/>
        <v>134.32619623331192</v>
      </c>
      <c r="AL203" s="241">
        <v>0</v>
      </c>
      <c r="AM203" s="240">
        <f>+$AI203*AL203</f>
        <v>0</v>
      </c>
      <c r="AN203" s="241">
        <v>0</v>
      </c>
      <c r="AO203" s="240">
        <f>+$AI203*AN203</f>
        <v>0</v>
      </c>
      <c r="AP203" s="241">
        <v>1</v>
      </c>
      <c r="AQ203" s="240">
        <f>+$AI203*AP203</f>
        <v>11.193849686109326</v>
      </c>
    </row>
    <row r="204" spans="2:43" s="253" customFormat="1" ht="12" customHeight="1" x14ac:dyDescent="0.2">
      <c r="B204" s="241" t="str">
        <f t="shared" si="109"/>
        <v>ridgeroll offRDEM40</v>
      </c>
      <c r="C204" s="232" t="s">
        <v>720</v>
      </c>
      <c r="D204" s="232" t="s">
        <v>376</v>
      </c>
      <c r="E204" s="238">
        <v>98.76</v>
      </c>
      <c r="F204" s="238">
        <v>98.76</v>
      </c>
      <c r="G204" s="238">
        <v>106.07</v>
      </c>
      <c r="H204" s="261"/>
      <c r="I204" s="243">
        <v>2439.35</v>
      </c>
      <c r="J204" s="243">
        <v>2248.42</v>
      </c>
      <c r="K204" s="243">
        <v>2373.48</v>
      </c>
      <c r="L204" s="243">
        <v>2169.4499999999998</v>
      </c>
      <c r="M204" s="243">
        <v>2073.9499999999998</v>
      </c>
      <c r="N204" s="243">
        <v>1859.98</v>
      </c>
      <c r="O204" s="243">
        <v>1817.19</v>
      </c>
      <c r="P204" s="243">
        <v>2001.53</v>
      </c>
      <c r="Q204" s="243">
        <v>1922.53</v>
      </c>
      <c r="R204" s="243">
        <v>2043.62</v>
      </c>
      <c r="S204" s="243">
        <v>1934</v>
      </c>
      <c r="T204" s="243">
        <v>1987.04</v>
      </c>
      <c r="U204" s="263">
        <f t="shared" si="86"/>
        <v>24870.54</v>
      </c>
      <c r="W204" s="264">
        <f t="shared" si="110"/>
        <v>24.699777237748073</v>
      </c>
      <c r="X204" s="264">
        <f t="shared" si="111"/>
        <v>22.766504657756176</v>
      </c>
      <c r="Y204" s="264">
        <f t="shared" si="112"/>
        <v>24.032806804374239</v>
      </c>
      <c r="Z204" s="264">
        <f t="shared" si="113"/>
        <v>21.966889428918588</v>
      </c>
      <c r="AA204" s="264">
        <f t="shared" si="114"/>
        <v>20.99989874443094</v>
      </c>
      <c r="AB204" s="264">
        <f t="shared" si="115"/>
        <v>18.833333333333332</v>
      </c>
      <c r="AC204" s="264">
        <f t="shared" si="116"/>
        <v>18.400060753341432</v>
      </c>
      <c r="AD204" s="264">
        <f t="shared" si="117"/>
        <v>20.266605913325233</v>
      </c>
      <c r="AE204" s="264">
        <f t="shared" si="118"/>
        <v>19.466686917780475</v>
      </c>
      <c r="AF204" s="264">
        <f t="shared" si="119"/>
        <v>19.266710662769871</v>
      </c>
      <c r="AG204" s="264">
        <f t="shared" si="120"/>
        <v>18.23324219854813</v>
      </c>
      <c r="AH204" s="264">
        <f t="shared" si="121"/>
        <v>18.733289337230133</v>
      </c>
      <c r="AI204" s="265">
        <f t="shared" si="125"/>
        <v>20.638817165796386</v>
      </c>
      <c r="AJ204" s="266">
        <f t="shared" si="123"/>
        <v>247.66580598955662</v>
      </c>
      <c r="AL204" s="241">
        <v>0</v>
      </c>
      <c r="AM204" s="240">
        <f>+$AI204*AL204</f>
        <v>0</v>
      </c>
      <c r="AN204" s="241">
        <v>0</v>
      </c>
      <c r="AO204" s="240">
        <f>+$AI204*AN204</f>
        <v>0</v>
      </c>
      <c r="AP204" s="241">
        <v>1</v>
      </c>
      <c r="AQ204" s="240">
        <f>+$AI204*AP204</f>
        <v>20.638817165796386</v>
      </c>
    </row>
    <row r="205" spans="2:43" ht="12" customHeight="1" x14ac:dyDescent="0.2">
      <c r="B205" s="1" t="str">
        <f t="shared" si="109"/>
        <v>ridgeroll offRPLACE</v>
      </c>
      <c r="C205" s="58" t="s">
        <v>721</v>
      </c>
      <c r="D205" s="58" t="s">
        <v>382</v>
      </c>
      <c r="E205" s="11">
        <v>79.319999999999993</v>
      </c>
      <c r="F205" s="11">
        <v>79.319999999999993</v>
      </c>
      <c r="G205" s="11">
        <v>85.19</v>
      </c>
      <c r="H205" s="55"/>
      <c r="I205" s="14">
        <v>475.92</v>
      </c>
      <c r="J205" s="14">
        <v>317.27999999999997</v>
      </c>
      <c r="K205" s="14">
        <v>951.84</v>
      </c>
      <c r="L205" s="14">
        <v>713.88</v>
      </c>
      <c r="M205" s="14">
        <v>1031.1600000000001</v>
      </c>
      <c r="N205" s="14">
        <v>475.92</v>
      </c>
      <c r="O205" s="14">
        <v>317.27999999999997</v>
      </c>
      <c r="P205" s="14">
        <v>302.97000000000003</v>
      </c>
      <c r="Q205" s="14">
        <v>317.27999999999997</v>
      </c>
      <c r="R205" s="14">
        <v>170.38</v>
      </c>
      <c r="S205" s="14">
        <v>340.76</v>
      </c>
      <c r="T205" s="14">
        <v>511.14</v>
      </c>
      <c r="U205" s="73">
        <f t="shared" si="86"/>
        <v>5925.81</v>
      </c>
      <c r="W205" s="48">
        <f t="shared" si="110"/>
        <v>6.0000000000000009</v>
      </c>
      <c r="X205" s="48">
        <f t="shared" si="111"/>
        <v>4</v>
      </c>
      <c r="Y205" s="48">
        <f t="shared" si="112"/>
        <v>12.000000000000002</v>
      </c>
      <c r="Z205" s="48">
        <f t="shared" si="113"/>
        <v>9</v>
      </c>
      <c r="AA205" s="48">
        <f t="shared" si="114"/>
        <v>13.000000000000002</v>
      </c>
      <c r="AB205" s="48">
        <f t="shared" si="115"/>
        <v>6.0000000000000009</v>
      </c>
      <c r="AC205" s="48">
        <f t="shared" si="116"/>
        <v>4</v>
      </c>
      <c r="AD205" s="48">
        <f t="shared" si="117"/>
        <v>3.8195915279878978</v>
      </c>
      <c r="AE205" s="48">
        <f t="shared" si="118"/>
        <v>4</v>
      </c>
      <c r="AF205" s="48">
        <f t="shared" si="119"/>
        <v>2</v>
      </c>
      <c r="AG205" s="48">
        <f t="shared" si="120"/>
        <v>4</v>
      </c>
      <c r="AH205" s="48">
        <f t="shared" si="121"/>
        <v>6</v>
      </c>
      <c r="AI205" s="47">
        <f t="shared" si="125"/>
        <v>6.151632627332325</v>
      </c>
      <c r="AJ205" s="134">
        <f t="shared" ref="AJ205:AJ218" si="126">SUM(W205:AH205)</f>
        <v>73.819591527987896</v>
      </c>
    </row>
    <row r="206" spans="2:43" ht="12" customHeight="1" x14ac:dyDescent="0.2">
      <c r="B206" s="1" t="str">
        <f t="shared" si="109"/>
        <v>ridgeroll offRLIDCHG</v>
      </c>
      <c r="C206" s="58" t="s">
        <v>722</v>
      </c>
      <c r="D206" s="58" t="s">
        <v>383</v>
      </c>
      <c r="E206" s="11">
        <v>53.17</v>
      </c>
      <c r="F206" s="11">
        <v>53.17</v>
      </c>
      <c r="G206" s="11">
        <v>57.1</v>
      </c>
      <c r="H206" s="55"/>
      <c r="I206" s="14">
        <v>678.8</v>
      </c>
      <c r="J206" s="14">
        <v>634.49</v>
      </c>
      <c r="K206" s="14">
        <v>788.68</v>
      </c>
      <c r="L206" s="14">
        <v>850.72</v>
      </c>
      <c r="M206" s="14">
        <v>866.67</v>
      </c>
      <c r="N206" s="14">
        <v>852.49</v>
      </c>
      <c r="O206" s="14">
        <v>850.72</v>
      </c>
      <c r="P206" s="14">
        <v>850.72</v>
      </c>
      <c r="Q206" s="14">
        <v>850.72</v>
      </c>
      <c r="R206" s="14">
        <v>913.6</v>
      </c>
      <c r="S206" s="14">
        <v>936.44</v>
      </c>
      <c r="T206" s="14">
        <v>970.7</v>
      </c>
      <c r="U206" s="73">
        <f t="shared" si="86"/>
        <v>10044.750000000002</v>
      </c>
      <c r="W206" s="48">
        <f t="shared" si="110"/>
        <v>12.766597705473011</v>
      </c>
      <c r="X206" s="48">
        <f t="shared" si="111"/>
        <v>11.933233026142561</v>
      </c>
      <c r="Y206" s="48">
        <f t="shared" si="112"/>
        <v>14.83317660334775</v>
      </c>
      <c r="Z206" s="48">
        <f t="shared" si="113"/>
        <v>16</v>
      </c>
      <c r="AA206" s="48">
        <f t="shared" si="114"/>
        <v>16.299981192401727</v>
      </c>
      <c r="AB206" s="48">
        <f t="shared" si="115"/>
        <v>16.033289448937371</v>
      </c>
      <c r="AC206" s="48">
        <f t="shared" si="116"/>
        <v>16</v>
      </c>
      <c r="AD206" s="48">
        <f t="shared" si="117"/>
        <v>16</v>
      </c>
      <c r="AE206" s="48">
        <f t="shared" si="118"/>
        <v>16</v>
      </c>
      <c r="AF206" s="48">
        <f t="shared" si="119"/>
        <v>16</v>
      </c>
      <c r="AG206" s="48">
        <f t="shared" si="120"/>
        <v>16.400000000000002</v>
      </c>
      <c r="AH206" s="48">
        <f t="shared" si="121"/>
        <v>17</v>
      </c>
      <c r="AI206" s="47">
        <f t="shared" si="125"/>
        <v>15.438856498025201</v>
      </c>
      <c r="AJ206" s="134">
        <f t="shared" si="126"/>
        <v>185.2662779763024</v>
      </c>
    </row>
    <row r="207" spans="2:43" ht="12" customHeight="1" x14ac:dyDescent="0.2">
      <c r="B207" s="1" t="str">
        <f t="shared" si="109"/>
        <v>ridgeroll offMILE</v>
      </c>
      <c r="C207" s="58" t="s">
        <v>340</v>
      </c>
      <c r="D207" s="58" t="s">
        <v>385</v>
      </c>
      <c r="E207" s="11">
        <v>2.84</v>
      </c>
      <c r="F207" s="11">
        <v>2.84</v>
      </c>
      <c r="G207" s="11">
        <v>3.05</v>
      </c>
      <c r="H207" s="55"/>
      <c r="I207" s="14">
        <v>1822.47</v>
      </c>
      <c r="J207" s="14">
        <v>2345.0100000000002</v>
      </c>
      <c r="K207" s="14">
        <v>2541.79</v>
      </c>
      <c r="L207" s="14">
        <v>1902.26</v>
      </c>
      <c r="M207" s="14">
        <v>2133.63</v>
      </c>
      <c r="N207" s="14">
        <v>1716.76</v>
      </c>
      <c r="O207" s="14">
        <v>1730.12</v>
      </c>
      <c r="P207" s="14">
        <v>1880.14</v>
      </c>
      <c r="Q207" s="14">
        <v>1651.75</v>
      </c>
      <c r="R207" s="14">
        <v>1724.42</v>
      </c>
      <c r="S207" s="14">
        <v>1839.35</v>
      </c>
      <c r="T207" s="14">
        <v>2331.96</v>
      </c>
      <c r="U207" s="73">
        <f>SUM(I207:T207)</f>
        <v>23619.659999999996</v>
      </c>
      <c r="W207" s="48">
        <f t="shared" si="110"/>
        <v>641.71478873239437</v>
      </c>
      <c r="X207" s="48">
        <f t="shared" si="111"/>
        <v>825.70774647887333</v>
      </c>
      <c r="Y207" s="48">
        <f t="shared" si="112"/>
        <v>894.99647887323943</v>
      </c>
      <c r="Z207" s="48">
        <f t="shared" si="113"/>
        <v>669.80985915492965</v>
      </c>
      <c r="AA207" s="48">
        <f t="shared" si="114"/>
        <v>751.2781690140846</v>
      </c>
      <c r="AB207" s="48">
        <f t="shared" si="115"/>
        <v>604.49295774647885</v>
      </c>
      <c r="AC207" s="48">
        <f t="shared" si="116"/>
        <v>609.19718309859149</v>
      </c>
      <c r="AD207" s="48">
        <f t="shared" si="117"/>
        <v>662.02112676056345</v>
      </c>
      <c r="AE207" s="48">
        <f t="shared" si="118"/>
        <v>581.60211267605632</v>
      </c>
      <c r="AF207" s="48">
        <f t="shared" si="119"/>
        <v>565.38360655737711</v>
      </c>
      <c r="AG207" s="48">
        <f t="shared" si="120"/>
        <v>603.06557377049182</v>
      </c>
      <c r="AH207" s="48">
        <f t="shared" si="121"/>
        <v>764.57704918032789</v>
      </c>
      <c r="AI207" s="47">
        <f t="shared" si="125"/>
        <v>681.15388767028401</v>
      </c>
      <c r="AJ207" s="134">
        <f t="shared" si="126"/>
        <v>8173.8466520434076</v>
      </c>
    </row>
    <row r="208" spans="2:43" ht="12" customHeight="1" x14ac:dyDescent="0.2">
      <c r="B208" s="1" t="str">
        <f t="shared" si="109"/>
        <v>ridgeroll offTARP</v>
      </c>
      <c r="C208" s="58" t="s">
        <v>341</v>
      </c>
      <c r="D208" s="58" t="s">
        <v>386</v>
      </c>
      <c r="E208" s="11">
        <v>11.4</v>
      </c>
      <c r="F208" s="11">
        <v>11.4</v>
      </c>
      <c r="G208" s="11">
        <v>12.24</v>
      </c>
      <c r="H208" s="55"/>
      <c r="I208" s="14">
        <v>832.2</v>
      </c>
      <c r="J208" s="14">
        <v>1094.4000000000001</v>
      </c>
      <c r="K208" s="14">
        <v>1094.4000000000001</v>
      </c>
      <c r="L208" s="14">
        <v>671.79</v>
      </c>
      <c r="M208" s="14">
        <v>866.4</v>
      </c>
      <c r="N208" s="14">
        <v>604.20000000000005</v>
      </c>
      <c r="O208" s="14">
        <v>638.4</v>
      </c>
      <c r="P208" s="14">
        <v>660.34</v>
      </c>
      <c r="Q208" s="14">
        <v>558.6</v>
      </c>
      <c r="R208" s="14">
        <v>562.20000000000005</v>
      </c>
      <c r="S208" s="14">
        <v>635.64</v>
      </c>
      <c r="T208" s="14">
        <v>783.36</v>
      </c>
      <c r="U208" s="73">
        <f t="shared" ref="U208:U218" si="127">SUM(I208:T208)</f>
        <v>9001.93</v>
      </c>
      <c r="W208" s="48">
        <f t="shared" si="110"/>
        <v>73</v>
      </c>
      <c r="X208" s="48">
        <f t="shared" si="111"/>
        <v>96</v>
      </c>
      <c r="Y208" s="48">
        <f t="shared" si="112"/>
        <v>96</v>
      </c>
      <c r="Z208" s="48">
        <f t="shared" si="113"/>
        <v>58.928947368421049</v>
      </c>
      <c r="AA208" s="48">
        <f t="shared" si="114"/>
        <v>76</v>
      </c>
      <c r="AB208" s="48">
        <f t="shared" si="115"/>
        <v>53</v>
      </c>
      <c r="AC208" s="48">
        <f t="shared" si="116"/>
        <v>55.999999999999993</v>
      </c>
      <c r="AD208" s="48">
        <f t="shared" si="117"/>
        <v>57.924561403508775</v>
      </c>
      <c r="AE208" s="48">
        <f t="shared" si="118"/>
        <v>49</v>
      </c>
      <c r="AF208" s="48">
        <f t="shared" si="119"/>
        <v>45.931372549019613</v>
      </c>
      <c r="AG208" s="48">
        <f t="shared" si="120"/>
        <v>51.931372549019606</v>
      </c>
      <c r="AH208" s="48">
        <f t="shared" si="121"/>
        <v>64</v>
      </c>
      <c r="AI208" s="47">
        <f t="shared" si="125"/>
        <v>64.809687822497409</v>
      </c>
      <c r="AJ208" s="134">
        <f t="shared" si="126"/>
        <v>777.71625386996891</v>
      </c>
    </row>
    <row r="209" spans="1:43" ht="12" customHeight="1" x14ac:dyDescent="0.2">
      <c r="B209" s="1" t="str">
        <f>"ridge"&amp;"roll off"&amp;C209</f>
        <v>ridgeroll offPTRAN</v>
      </c>
      <c r="C209" s="58" t="s">
        <v>919</v>
      </c>
      <c r="D209" s="58" t="s">
        <v>921</v>
      </c>
      <c r="E209" s="11">
        <v>10</v>
      </c>
      <c r="F209" s="11">
        <v>10</v>
      </c>
      <c r="G209" s="11">
        <v>10</v>
      </c>
      <c r="H209" s="55"/>
      <c r="I209" s="14">
        <v>0</v>
      </c>
      <c r="J209" s="14">
        <v>0</v>
      </c>
      <c r="K209" s="14">
        <v>0</v>
      </c>
      <c r="L209" s="14">
        <v>0</v>
      </c>
      <c r="M209" s="14">
        <v>0</v>
      </c>
      <c r="N209" s="14">
        <v>0</v>
      </c>
      <c r="O209" s="14">
        <v>100</v>
      </c>
      <c r="P209" s="14">
        <v>0</v>
      </c>
      <c r="Q209" s="14">
        <v>0</v>
      </c>
      <c r="R209" s="14">
        <v>62.5</v>
      </c>
      <c r="S209" s="14">
        <v>0</v>
      </c>
      <c r="T209" s="14">
        <v>0</v>
      </c>
      <c r="U209" s="73">
        <f>SUM(I209:T209)</f>
        <v>162.5</v>
      </c>
      <c r="W209" s="48">
        <f t="shared" si="110"/>
        <v>0</v>
      </c>
      <c r="X209" s="48">
        <f t="shared" si="111"/>
        <v>0</v>
      </c>
      <c r="Y209" s="48">
        <f t="shared" si="112"/>
        <v>0</v>
      </c>
      <c r="Z209" s="48">
        <f t="shared" si="113"/>
        <v>0</v>
      </c>
      <c r="AA209" s="48">
        <f t="shared" si="114"/>
        <v>0</v>
      </c>
      <c r="AB209" s="48">
        <f t="shared" si="115"/>
        <v>0</v>
      </c>
      <c r="AC209" s="48">
        <f t="shared" si="116"/>
        <v>10</v>
      </c>
      <c r="AD209" s="48">
        <f t="shared" si="117"/>
        <v>0</v>
      </c>
      <c r="AE209" s="48">
        <f t="shared" si="118"/>
        <v>0</v>
      </c>
      <c r="AF209" s="48">
        <f t="shared" si="119"/>
        <v>6.25</v>
      </c>
      <c r="AG209" s="48">
        <f t="shared" si="120"/>
        <v>0</v>
      </c>
      <c r="AH209" s="48">
        <f t="shared" si="121"/>
        <v>0</v>
      </c>
      <c r="AI209" s="47">
        <f>+IFERROR(AVERAGE(W209:AH209),0)</f>
        <v>1.3541666666666667</v>
      </c>
      <c r="AJ209" s="134">
        <f>SUM(W209:AH209)</f>
        <v>16.25</v>
      </c>
    </row>
    <row r="210" spans="1:43" ht="12" customHeight="1" x14ac:dyDescent="0.2">
      <c r="B210" s="1" t="str">
        <f t="shared" si="109"/>
        <v>ridgeroll offVDTIME</v>
      </c>
      <c r="C210" s="58" t="s">
        <v>342</v>
      </c>
      <c r="D210" s="58" t="s">
        <v>387</v>
      </c>
      <c r="E210" s="11">
        <v>1.19</v>
      </c>
      <c r="F210" s="11">
        <v>1.19</v>
      </c>
      <c r="G210" s="11">
        <v>1.28</v>
      </c>
      <c r="H210" s="55"/>
      <c r="I210" s="14">
        <v>0</v>
      </c>
      <c r="J210" s="14">
        <v>0</v>
      </c>
      <c r="K210" s="14">
        <v>0</v>
      </c>
      <c r="L210" s="14">
        <v>0</v>
      </c>
      <c r="M210" s="14">
        <v>401.4</v>
      </c>
      <c r="N210" s="14">
        <v>0</v>
      </c>
      <c r="O210" s="14">
        <v>0</v>
      </c>
      <c r="P210" s="14">
        <v>0</v>
      </c>
      <c r="Q210" s="14">
        <v>0</v>
      </c>
      <c r="R210" s="14">
        <v>0</v>
      </c>
      <c r="S210" s="14">
        <v>0</v>
      </c>
      <c r="T210" s="14">
        <v>0</v>
      </c>
      <c r="U210" s="73">
        <f t="shared" si="127"/>
        <v>401.4</v>
      </c>
      <c r="W210" s="48">
        <f t="shared" si="110"/>
        <v>0</v>
      </c>
      <c r="X210" s="48">
        <f t="shared" si="111"/>
        <v>0</v>
      </c>
      <c r="Y210" s="48">
        <f t="shared" si="112"/>
        <v>0</v>
      </c>
      <c r="Z210" s="48">
        <f t="shared" si="113"/>
        <v>0</v>
      </c>
      <c r="AA210" s="48">
        <f t="shared" si="114"/>
        <v>337.31092436974791</v>
      </c>
      <c r="AB210" s="48">
        <f t="shared" si="115"/>
        <v>0</v>
      </c>
      <c r="AC210" s="48">
        <f t="shared" si="116"/>
        <v>0</v>
      </c>
      <c r="AD210" s="48">
        <f t="shared" si="117"/>
        <v>0</v>
      </c>
      <c r="AE210" s="48">
        <f t="shared" si="118"/>
        <v>0</v>
      </c>
      <c r="AF210" s="48">
        <f t="shared" si="119"/>
        <v>0</v>
      </c>
      <c r="AG210" s="48">
        <f t="shared" si="120"/>
        <v>0</v>
      </c>
      <c r="AH210" s="48">
        <f t="shared" si="121"/>
        <v>0</v>
      </c>
      <c r="AI210" s="47">
        <f t="shared" si="125"/>
        <v>28.109243697478991</v>
      </c>
      <c r="AJ210" s="134">
        <f t="shared" si="126"/>
        <v>337.31092436974791</v>
      </c>
    </row>
    <row r="211" spans="1:43" ht="12" customHeight="1" x14ac:dyDescent="0.2">
      <c r="B211" s="1" t="str">
        <f>"ridge"&amp;"roll off"&amp;C211</f>
        <v>ridgeroll offWAMISC</v>
      </c>
      <c r="C211" s="58" t="s">
        <v>343</v>
      </c>
      <c r="D211" s="58" t="s">
        <v>388</v>
      </c>
      <c r="E211" s="11">
        <v>0</v>
      </c>
      <c r="F211" s="11">
        <v>0</v>
      </c>
      <c r="G211" s="11">
        <v>76.8</v>
      </c>
      <c r="H211" s="76"/>
      <c r="I211" s="14">
        <v>0</v>
      </c>
      <c r="J211" s="14">
        <v>0</v>
      </c>
      <c r="K211" s="14">
        <v>0</v>
      </c>
      <c r="L211" s="14">
        <v>0</v>
      </c>
      <c r="M211" s="14">
        <v>0</v>
      </c>
      <c r="N211" s="14">
        <v>0</v>
      </c>
      <c r="O211" s="14">
        <v>0</v>
      </c>
      <c r="P211" s="14">
        <v>0</v>
      </c>
      <c r="Q211" s="14">
        <v>0</v>
      </c>
      <c r="R211" s="14">
        <v>0</v>
      </c>
      <c r="S211" s="14">
        <v>0</v>
      </c>
      <c r="T211" s="14">
        <v>230.4</v>
      </c>
      <c r="U211" s="73">
        <f>SUM(I211:T211)</f>
        <v>230.4</v>
      </c>
      <c r="W211" s="45">
        <f t="shared" si="110"/>
        <v>0</v>
      </c>
      <c r="X211" s="45">
        <f t="shared" si="111"/>
        <v>0</v>
      </c>
      <c r="Y211" s="45">
        <f t="shared" si="112"/>
        <v>0</v>
      </c>
      <c r="Z211" s="45">
        <f t="shared" si="113"/>
        <v>0</v>
      </c>
      <c r="AA211" s="45">
        <f t="shared" si="114"/>
        <v>0</v>
      </c>
      <c r="AB211" s="45">
        <f t="shared" si="115"/>
        <v>0</v>
      </c>
      <c r="AC211" s="45">
        <f t="shared" si="116"/>
        <v>0</v>
      </c>
      <c r="AD211" s="45">
        <f t="shared" si="117"/>
        <v>0</v>
      </c>
      <c r="AE211" s="45">
        <f t="shared" si="118"/>
        <v>0</v>
      </c>
      <c r="AF211" s="45">
        <f t="shared" si="119"/>
        <v>0</v>
      </c>
      <c r="AG211" s="45">
        <f t="shared" si="120"/>
        <v>0</v>
      </c>
      <c r="AH211" s="45">
        <f t="shared" si="121"/>
        <v>3</v>
      </c>
    </row>
    <row r="212" spans="1:43" ht="12" customHeight="1" x14ac:dyDescent="0.2">
      <c r="B212" s="1" t="str">
        <f t="shared" si="109"/>
        <v>ridgeroll offCTLIDCHG</v>
      </c>
      <c r="C212" s="58" t="s">
        <v>339</v>
      </c>
      <c r="D212" s="58" t="s">
        <v>384</v>
      </c>
      <c r="E212" s="11">
        <v>53.17</v>
      </c>
      <c r="F212" s="11">
        <v>53.17</v>
      </c>
      <c r="G212" s="11">
        <v>57.1</v>
      </c>
      <c r="H212" s="55"/>
      <c r="I212" s="14">
        <v>0</v>
      </c>
      <c r="J212" s="14">
        <v>0</v>
      </c>
      <c r="K212" s="14">
        <v>0</v>
      </c>
      <c r="L212" s="14">
        <v>0</v>
      </c>
      <c r="M212" s="14">
        <v>0</v>
      </c>
      <c r="N212" s="14">
        <v>0</v>
      </c>
      <c r="O212" s="14">
        <v>0</v>
      </c>
      <c r="P212" s="14">
        <v>37.22</v>
      </c>
      <c r="Q212" s="14">
        <v>0</v>
      </c>
      <c r="R212" s="14">
        <v>0</v>
      </c>
      <c r="S212" s="14">
        <v>0</v>
      </c>
      <c r="T212" s="14">
        <v>0</v>
      </c>
      <c r="U212" s="73">
        <f t="shared" si="127"/>
        <v>37.22</v>
      </c>
      <c r="W212" s="48">
        <f t="shared" si="110"/>
        <v>0</v>
      </c>
      <c r="X212" s="48">
        <f t="shared" si="111"/>
        <v>0</v>
      </c>
      <c r="Y212" s="48">
        <f t="shared" si="112"/>
        <v>0</v>
      </c>
      <c r="Z212" s="48">
        <f t="shared" si="113"/>
        <v>0</v>
      </c>
      <c r="AA212" s="48">
        <f t="shared" si="114"/>
        <v>0</v>
      </c>
      <c r="AB212" s="48">
        <f t="shared" si="115"/>
        <v>0</v>
      </c>
      <c r="AC212" s="48">
        <f t="shared" si="116"/>
        <v>0</v>
      </c>
      <c r="AD212" s="48">
        <f t="shared" si="117"/>
        <v>0.70001880759826962</v>
      </c>
      <c r="AE212" s="48">
        <f t="shared" si="118"/>
        <v>0</v>
      </c>
      <c r="AF212" s="48">
        <f t="shared" si="119"/>
        <v>0</v>
      </c>
      <c r="AG212" s="48">
        <f t="shared" si="120"/>
        <v>0</v>
      </c>
      <c r="AH212" s="48">
        <f t="shared" si="121"/>
        <v>0</v>
      </c>
      <c r="AI212" s="47">
        <f>+IFERROR(AVERAGE(W212:AH212),0)</f>
        <v>5.8334900633189135E-2</v>
      </c>
      <c r="AJ212" s="134">
        <f>SUM(W212:AH212)</f>
        <v>0.70001880759826962</v>
      </c>
    </row>
    <row r="213" spans="1:43" ht="12" customHeight="1" x14ac:dyDescent="0.2">
      <c r="B213" s="1" t="str">
        <f t="shared" si="109"/>
        <v>ridgeroll offDBTRIP</v>
      </c>
      <c r="C213" s="58" t="s">
        <v>344</v>
      </c>
      <c r="D213" s="58" t="s">
        <v>389</v>
      </c>
      <c r="E213" s="11">
        <v>85.7</v>
      </c>
      <c r="F213" s="11">
        <v>85.7</v>
      </c>
      <c r="G213" s="11">
        <v>92.04</v>
      </c>
      <c r="H213" s="55"/>
      <c r="I213" s="14">
        <v>428.5</v>
      </c>
      <c r="J213" s="14">
        <v>428.5</v>
      </c>
      <c r="K213" s="14">
        <v>342.8</v>
      </c>
      <c r="L213" s="14">
        <v>685.6</v>
      </c>
      <c r="M213" s="14">
        <v>342.8</v>
      </c>
      <c r="N213" s="14">
        <v>771.3</v>
      </c>
      <c r="O213" s="14">
        <v>685.6</v>
      </c>
      <c r="P213" s="14">
        <v>1114.0999999999999</v>
      </c>
      <c r="Q213" s="14">
        <v>942.7</v>
      </c>
      <c r="R213" s="14">
        <v>914.06</v>
      </c>
      <c r="S213" s="14">
        <v>1288.56</v>
      </c>
      <c r="T213" s="14">
        <v>736.32</v>
      </c>
      <c r="U213" s="73">
        <f t="shared" si="127"/>
        <v>8680.8399999999983</v>
      </c>
      <c r="W213" s="48">
        <f t="shared" si="110"/>
        <v>5</v>
      </c>
      <c r="X213" s="48">
        <f t="shared" si="111"/>
        <v>5</v>
      </c>
      <c r="Y213" s="48">
        <f t="shared" si="112"/>
        <v>4</v>
      </c>
      <c r="Z213" s="48">
        <f t="shared" si="113"/>
        <v>8</v>
      </c>
      <c r="AA213" s="48">
        <f t="shared" si="114"/>
        <v>4</v>
      </c>
      <c r="AB213" s="48">
        <f t="shared" si="115"/>
        <v>9</v>
      </c>
      <c r="AC213" s="48">
        <f t="shared" si="116"/>
        <v>8</v>
      </c>
      <c r="AD213" s="48">
        <f t="shared" si="117"/>
        <v>12.999999999999998</v>
      </c>
      <c r="AE213" s="48">
        <f t="shared" si="118"/>
        <v>11</v>
      </c>
      <c r="AF213" s="48">
        <f t="shared" si="119"/>
        <v>9.931116905693175</v>
      </c>
      <c r="AG213" s="48">
        <f t="shared" si="120"/>
        <v>13.999999999999998</v>
      </c>
      <c r="AH213" s="48">
        <f t="shared" si="121"/>
        <v>8</v>
      </c>
      <c r="AI213" s="47">
        <f>+IFERROR(AVERAGE(W213:AH213),0)</f>
        <v>8.2442597421410984</v>
      </c>
      <c r="AJ213" s="134">
        <f>SUM(W213:AH213)</f>
        <v>98.931116905693173</v>
      </c>
    </row>
    <row r="214" spans="1:43" ht="12" customHeight="1" x14ac:dyDescent="0.2">
      <c r="B214" s="1" t="str">
        <f>"ridge"&amp;"roll off"&amp;C214</f>
        <v>ridgeroll offDBPTRIP</v>
      </c>
      <c r="C214" s="58" t="s">
        <v>1283</v>
      </c>
      <c r="D214" s="58" t="s">
        <v>1284</v>
      </c>
      <c r="E214" s="11">
        <v>85.7</v>
      </c>
      <c r="F214" s="11">
        <v>85.7</v>
      </c>
      <c r="G214" s="11">
        <v>85.7</v>
      </c>
      <c r="H214" s="55"/>
      <c r="I214" s="14">
        <v>0</v>
      </c>
      <c r="J214" s="14">
        <v>0</v>
      </c>
      <c r="K214" s="14">
        <v>0</v>
      </c>
      <c r="L214" s="14">
        <v>0</v>
      </c>
      <c r="M214" s="14">
        <v>0</v>
      </c>
      <c r="N214" s="14">
        <v>0</v>
      </c>
      <c r="O214" s="14">
        <v>0</v>
      </c>
      <c r="P214" s="14">
        <v>0</v>
      </c>
      <c r="Q214" s="14">
        <v>0</v>
      </c>
      <c r="R214" s="14">
        <v>0</v>
      </c>
      <c r="S214" s="14">
        <v>0</v>
      </c>
      <c r="T214" s="14">
        <v>286.8</v>
      </c>
      <c r="U214" s="73">
        <f>SUM(I214:T214)</f>
        <v>286.8</v>
      </c>
      <c r="W214" s="48">
        <f t="shared" si="110"/>
        <v>0</v>
      </c>
      <c r="X214" s="48">
        <f t="shared" si="111"/>
        <v>0</v>
      </c>
      <c r="Y214" s="48">
        <f t="shared" si="112"/>
        <v>0</v>
      </c>
      <c r="Z214" s="48">
        <f t="shared" si="113"/>
        <v>0</v>
      </c>
      <c r="AA214" s="48">
        <f t="shared" si="114"/>
        <v>0</v>
      </c>
      <c r="AB214" s="48">
        <f t="shared" si="115"/>
        <v>0</v>
      </c>
      <c r="AC214" s="48">
        <f t="shared" si="116"/>
        <v>0</v>
      </c>
      <c r="AD214" s="48">
        <f t="shared" si="117"/>
        <v>0</v>
      </c>
      <c r="AE214" s="48">
        <f t="shared" si="118"/>
        <v>0</v>
      </c>
      <c r="AF214" s="48">
        <f t="shared" si="119"/>
        <v>0</v>
      </c>
      <c r="AG214" s="48">
        <f t="shared" si="120"/>
        <v>0</v>
      </c>
      <c r="AH214" s="48">
        <f t="shared" si="121"/>
        <v>3.3465577596266045</v>
      </c>
      <c r="AI214" s="47">
        <f t="shared" si="125"/>
        <v>0.27887981330221706</v>
      </c>
      <c r="AJ214" s="134">
        <f t="shared" si="126"/>
        <v>3.3465577596266045</v>
      </c>
    </row>
    <row r="215" spans="1:43" ht="12" customHeight="1" x14ac:dyDescent="0.2">
      <c r="B215" s="1" t="str">
        <f>"ridge"&amp;"roll off"&amp;C215</f>
        <v>ridgeroll offDRPLACE</v>
      </c>
      <c r="C215" s="58" t="s">
        <v>627</v>
      </c>
      <c r="D215" s="58" t="s">
        <v>638</v>
      </c>
      <c r="E215" s="11">
        <v>0</v>
      </c>
      <c r="F215" s="11">
        <v>0</v>
      </c>
      <c r="G215" s="11">
        <v>0</v>
      </c>
      <c r="H215" s="55"/>
      <c r="I215" s="14">
        <v>0</v>
      </c>
      <c r="J215" s="14">
        <v>0</v>
      </c>
      <c r="K215" s="14">
        <v>0</v>
      </c>
      <c r="L215" s="14">
        <v>0</v>
      </c>
      <c r="M215" s="14">
        <v>0</v>
      </c>
      <c r="N215" s="14">
        <v>0</v>
      </c>
      <c r="O215" s="14">
        <v>0</v>
      </c>
      <c r="P215" s="14">
        <v>0</v>
      </c>
      <c r="Q215" s="14">
        <v>0</v>
      </c>
      <c r="R215" s="14">
        <v>0</v>
      </c>
      <c r="S215" s="14">
        <v>0</v>
      </c>
      <c r="T215" s="14">
        <v>0</v>
      </c>
      <c r="U215" s="73">
        <f>SUM(I215:T215)</f>
        <v>0</v>
      </c>
      <c r="W215" s="48">
        <f t="shared" si="110"/>
        <v>0</v>
      </c>
      <c r="X215" s="48">
        <f t="shared" si="111"/>
        <v>0</v>
      </c>
      <c r="Y215" s="48">
        <f t="shared" si="112"/>
        <v>0</v>
      </c>
      <c r="Z215" s="48">
        <f t="shared" si="113"/>
        <v>0</v>
      </c>
      <c r="AA215" s="48">
        <f t="shared" si="114"/>
        <v>0</v>
      </c>
      <c r="AB215" s="48">
        <f t="shared" si="115"/>
        <v>0</v>
      </c>
      <c r="AC215" s="48">
        <f t="shared" si="116"/>
        <v>0</v>
      </c>
      <c r="AD215" s="48">
        <f t="shared" si="117"/>
        <v>0</v>
      </c>
      <c r="AE215" s="48">
        <f t="shared" si="118"/>
        <v>0</v>
      </c>
      <c r="AF215" s="48">
        <f t="shared" si="119"/>
        <v>0</v>
      </c>
      <c r="AG215" s="48">
        <f t="shared" si="120"/>
        <v>0</v>
      </c>
      <c r="AH215" s="48">
        <f t="shared" si="121"/>
        <v>0</v>
      </c>
      <c r="AI215" s="47">
        <f t="shared" si="125"/>
        <v>0</v>
      </c>
      <c r="AJ215" s="134">
        <f t="shared" si="126"/>
        <v>0</v>
      </c>
    </row>
    <row r="216" spans="1:43" ht="12" customHeight="1" x14ac:dyDescent="0.2">
      <c r="B216" s="1" t="str">
        <f>"ridge"&amp;"roll off"&amp;C216</f>
        <v>ridgeroll offFWDEM20</v>
      </c>
      <c r="C216" s="58" t="s">
        <v>1266</v>
      </c>
      <c r="D216" s="58" t="s">
        <v>1267</v>
      </c>
      <c r="E216" s="11">
        <v>0</v>
      </c>
      <c r="F216" s="11">
        <v>0</v>
      </c>
      <c r="G216" s="11">
        <v>75.8</v>
      </c>
      <c r="H216" s="55"/>
      <c r="I216" s="14">
        <v>0</v>
      </c>
      <c r="J216" s="14">
        <v>0</v>
      </c>
      <c r="K216" s="14">
        <v>0</v>
      </c>
      <c r="L216" s="14">
        <v>0</v>
      </c>
      <c r="M216" s="14">
        <v>0</v>
      </c>
      <c r="N216" s="14">
        <v>0</v>
      </c>
      <c r="O216" s="14">
        <v>0</v>
      </c>
      <c r="P216" s="14">
        <v>53.06</v>
      </c>
      <c r="Q216" s="14">
        <v>0</v>
      </c>
      <c r="R216" s="14">
        <v>0</v>
      </c>
      <c r="S216" s="14">
        <v>0</v>
      </c>
      <c r="T216" s="14">
        <v>0</v>
      </c>
      <c r="U216" s="73">
        <f>SUM(I216:T216)</f>
        <v>53.06</v>
      </c>
      <c r="W216" s="48">
        <f t="shared" si="110"/>
        <v>0</v>
      </c>
      <c r="X216" s="48">
        <f t="shared" si="111"/>
        <v>0</v>
      </c>
      <c r="Y216" s="48">
        <f t="shared" si="112"/>
        <v>0</v>
      </c>
      <c r="Z216" s="48">
        <f t="shared" si="113"/>
        <v>0</v>
      </c>
      <c r="AA216" s="48">
        <f t="shared" si="114"/>
        <v>0</v>
      </c>
      <c r="AB216" s="48">
        <f t="shared" si="115"/>
        <v>0</v>
      </c>
      <c r="AC216" s="48">
        <f t="shared" si="116"/>
        <v>0</v>
      </c>
      <c r="AD216" s="48">
        <f t="shared" si="117"/>
        <v>0</v>
      </c>
      <c r="AE216" s="48">
        <f t="shared" si="118"/>
        <v>0</v>
      </c>
      <c r="AF216" s="48">
        <f t="shared" si="119"/>
        <v>0</v>
      </c>
      <c r="AG216" s="48">
        <f t="shared" si="120"/>
        <v>0</v>
      </c>
      <c r="AH216" s="48">
        <f t="shared" si="121"/>
        <v>0</v>
      </c>
      <c r="AI216" s="47">
        <f>+IFERROR(AVERAGE(W216:AH216),0)</f>
        <v>0</v>
      </c>
      <c r="AJ216" s="134">
        <f>SUM(W216:AH216)</f>
        <v>0</v>
      </c>
    </row>
    <row r="217" spans="1:43" ht="12" customHeight="1" x14ac:dyDescent="0.2">
      <c r="B217" s="1" t="str">
        <f t="shared" si="109"/>
        <v>ridgeroll offLINER-RO</v>
      </c>
      <c r="C217" s="58" t="s">
        <v>1123</v>
      </c>
      <c r="D217" s="58" t="s">
        <v>1124</v>
      </c>
      <c r="E217" s="11">
        <v>58.53</v>
      </c>
      <c r="F217" s="11">
        <v>58.53</v>
      </c>
      <c r="G217" s="11">
        <v>62.86</v>
      </c>
      <c r="H217" s="55"/>
      <c r="I217" s="14">
        <v>58.53</v>
      </c>
      <c r="J217" s="14">
        <v>58.53</v>
      </c>
      <c r="K217" s="14">
        <v>58.53</v>
      </c>
      <c r="L217" s="14">
        <v>117.06</v>
      </c>
      <c r="M217" s="14">
        <v>117.06</v>
      </c>
      <c r="N217" s="14">
        <v>0</v>
      </c>
      <c r="O217" s="14">
        <v>117.06</v>
      </c>
      <c r="P217" s="14">
        <v>175.59</v>
      </c>
      <c r="Q217" s="14">
        <v>58.53</v>
      </c>
      <c r="R217" s="14">
        <v>0</v>
      </c>
      <c r="S217" s="14">
        <v>0</v>
      </c>
      <c r="T217" s="14">
        <v>0</v>
      </c>
      <c r="U217" s="73">
        <f>SUM(I217:T217)</f>
        <v>760.89</v>
      </c>
      <c r="W217" s="48">
        <f t="shared" si="110"/>
        <v>1</v>
      </c>
      <c r="X217" s="48">
        <f t="shared" si="111"/>
        <v>1</v>
      </c>
      <c r="Y217" s="48">
        <f t="shared" si="112"/>
        <v>1</v>
      </c>
      <c r="Z217" s="48">
        <f t="shared" si="113"/>
        <v>2</v>
      </c>
      <c r="AA217" s="48">
        <f t="shared" si="114"/>
        <v>2</v>
      </c>
      <c r="AB217" s="48">
        <f t="shared" si="115"/>
        <v>0</v>
      </c>
      <c r="AC217" s="48">
        <f t="shared" si="116"/>
        <v>2</v>
      </c>
      <c r="AD217" s="48">
        <f t="shared" si="117"/>
        <v>3</v>
      </c>
      <c r="AE217" s="48">
        <f t="shared" si="118"/>
        <v>1</v>
      </c>
      <c r="AF217" s="48">
        <f t="shared" si="119"/>
        <v>0</v>
      </c>
      <c r="AG217" s="48">
        <f t="shared" si="120"/>
        <v>0</v>
      </c>
      <c r="AH217" s="48">
        <f t="shared" si="121"/>
        <v>0</v>
      </c>
      <c r="AI217" s="47">
        <f t="shared" si="125"/>
        <v>1.0833333333333333</v>
      </c>
      <c r="AJ217" s="134">
        <f t="shared" si="126"/>
        <v>13</v>
      </c>
    </row>
    <row r="218" spans="1:43" ht="12" customHeight="1" x14ac:dyDescent="0.2">
      <c r="B218" s="1" t="str">
        <f>"ridge"&amp;"roll off"&amp;C218</f>
        <v>ridgeroll offSPDISCO</v>
      </c>
      <c r="C218" s="58" t="s">
        <v>336</v>
      </c>
      <c r="D218" s="58" t="s">
        <v>381</v>
      </c>
      <c r="E218" s="11">
        <v>13.09</v>
      </c>
      <c r="F218" s="11">
        <v>13.09</v>
      </c>
      <c r="G218" s="11">
        <v>14.06</v>
      </c>
      <c r="H218" s="55"/>
      <c r="I218" s="14">
        <v>327.25</v>
      </c>
      <c r="J218" s="14">
        <v>405.79</v>
      </c>
      <c r="K218" s="14">
        <v>392.7</v>
      </c>
      <c r="L218" s="14">
        <v>327.25</v>
      </c>
      <c r="M218" s="14">
        <v>392.7</v>
      </c>
      <c r="N218" s="14">
        <v>314.16000000000003</v>
      </c>
      <c r="O218" s="14">
        <v>392.7</v>
      </c>
      <c r="P218" s="14">
        <v>353.43</v>
      </c>
      <c r="Q218" s="14">
        <v>314.16000000000003</v>
      </c>
      <c r="R218" s="14">
        <v>348.59</v>
      </c>
      <c r="S218" s="14">
        <v>379.62</v>
      </c>
      <c r="T218" s="14">
        <v>323.38</v>
      </c>
      <c r="U218" s="73">
        <f t="shared" si="127"/>
        <v>4271.7299999999996</v>
      </c>
      <c r="W218" s="48">
        <f t="shared" si="110"/>
        <v>25</v>
      </c>
      <c r="X218" s="48">
        <f t="shared" si="111"/>
        <v>31.000000000000004</v>
      </c>
      <c r="Y218" s="48">
        <f t="shared" si="112"/>
        <v>30</v>
      </c>
      <c r="Z218" s="48">
        <f t="shared" si="113"/>
        <v>25</v>
      </c>
      <c r="AA218" s="48">
        <f t="shared" si="114"/>
        <v>30</v>
      </c>
      <c r="AB218" s="48">
        <f t="shared" si="115"/>
        <v>24.000000000000004</v>
      </c>
      <c r="AC218" s="48">
        <f t="shared" si="116"/>
        <v>30</v>
      </c>
      <c r="AD218" s="48">
        <f t="shared" si="117"/>
        <v>27</v>
      </c>
      <c r="AE218" s="48">
        <f t="shared" si="118"/>
        <v>24.000000000000004</v>
      </c>
      <c r="AF218" s="48">
        <f t="shared" si="119"/>
        <v>24.79302987197724</v>
      </c>
      <c r="AG218" s="48">
        <f t="shared" si="120"/>
        <v>27</v>
      </c>
      <c r="AH218" s="48">
        <f t="shared" si="121"/>
        <v>23</v>
      </c>
      <c r="AI218" s="47">
        <f t="shared" si="125"/>
        <v>26.732752489331435</v>
      </c>
      <c r="AJ218" s="134">
        <f t="shared" si="126"/>
        <v>320.79302987197724</v>
      </c>
    </row>
    <row r="219" spans="1:43" ht="12" customHeight="1" x14ac:dyDescent="0.2">
      <c r="C219" s="40"/>
      <c r="D219" s="40"/>
      <c r="E219" s="11"/>
      <c r="F219" s="11"/>
      <c r="G219" s="11"/>
      <c r="H219" s="55"/>
      <c r="I219" s="46"/>
      <c r="J219" s="49"/>
      <c r="K219" s="49"/>
      <c r="U219" s="73"/>
    </row>
    <row r="220" spans="1:43" ht="12" customHeight="1" x14ac:dyDescent="0.2">
      <c r="D220" s="62" t="s">
        <v>657</v>
      </c>
      <c r="E220" s="11"/>
      <c r="F220" s="11"/>
      <c r="G220" s="11"/>
      <c r="H220" s="55"/>
      <c r="I220" s="74">
        <f>SUM(I185:I219)</f>
        <v>28455.809999999998</v>
      </c>
      <c r="J220" s="74">
        <f t="shared" ref="J220:U220" si="128">SUM(J185:J219)</f>
        <v>34509.939999999995</v>
      </c>
      <c r="K220" s="74">
        <f t="shared" si="128"/>
        <v>35916.229999999996</v>
      </c>
      <c r="L220" s="74">
        <f t="shared" si="128"/>
        <v>28789.590000000004</v>
      </c>
      <c r="M220" s="74">
        <f t="shared" si="128"/>
        <v>31573.430000000008</v>
      </c>
      <c r="N220" s="74">
        <f t="shared" si="128"/>
        <v>26557.71</v>
      </c>
      <c r="O220" s="74">
        <f t="shared" si="128"/>
        <v>27414.939999999995</v>
      </c>
      <c r="P220" s="74">
        <f t="shared" si="128"/>
        <v>28359.460000000006</v>
      </c>
      <c r="Q220" s="74">
        <f t="shared" si="128"/>
        <v>25349.159999999996</v>
      </c>
      <c r="R220" s="74">
        <f t="shared" si="128"/>
        <v>26780.76</v>
      </c>
      <c r="S220" s="74">
        <f t="shared" si="128"/>
        <v>27211.999999999993</v>
      </c>
      <c r="T220" s="74">
        <f t="shared" si="128"/>
        <v>30421.49</v>
      </c>
      <c r="U220" s="74">
        <f t="shared" si="128"/>
        <v>351340.51999999996</v>
      </c>
      <c r="W220" s="188">
        <f>SUM(W202:W204)</f>
        <v>38.632948562170917</v>
      </c>
      <c r="X220" s="188">
        <f t="shared" ref="X220:AJ220" si="129">SUM(X202:X204)</f>
        <v>36.732887808829489</v>
      </c>
      <c r="Y220" s="188">
        <f t="shared" si="129"/>
        <v>39.299311462130419</v>
      </c>
      <c r="Z220" s="188">
        <f t="shared" si="129"/>
        <v>41.366545159983801</v>
      </c>
      <c r="AA220" s="188">
        <f t="shared" si="129"/>
        <v>42.932563791008505</v>
      </c>
      <c r="AB220" s="188">
        <f t="shared" si="129"/>
        <v>41.166565411097608</v>
      </c>
      <c r="AC220" s="188">
        <f t="shared" si="129"/>
        <v>37.800121506682871</v>
      </c>
      <c r="AD220" s="188">
        <f t="shared" si="129"/>
        <v>38.166666666666664</v>
      </c>
      <c r="AE220" s="188">
        <f t="shared" si="129"/>
        <v>36.266707168894285</v>
      </c>
      <c r="AF220" s="188">
        <f t="shared" si="129"/>
        <v>37.433393042330536</v>
      </c>
      <c r="AG220" s="188">
        <f t="shared" si="129"/>
        <v>26.2269256151598</v>
      </c>
      <c r="AH220" s="188">
        <f t="shared" si="129"/>
        <v>38.066654096351471</v>
      </c>
      <c r="AI220" s="188">
        <f t="shared" si="129"/>
        <v>37.840940857608864</v>
      </c>
      <c r="AJ220" s="188">
        <f t="shared" si="129"/>
        <v>454.09129029130634</v>
      </c>
      <c r="AM220" s="189">
        <f>SUM(AM202:AM204)</f>
        <v>0</v>
      </c>
      <c r="AO220" s="189">
        <f>SUM(AO202:AO204)</f>
        <v>0</v>
      </c>
      <c r="AQ220" s="189">
        <f>SUM(AQ202:AQ204)</f>
        <v>37.840940857608864</v>
      </c>
    </row>
    <row r="221" spans="1:43" ht="12" customHeight="1" x14ac:dyDescent="0.2">
      <c r="E221" s="11"/>
      <c r="F221" s="11"/>
      <c r="G221" s="11"/>
      <c r="H221" s="55"/>
      <c r="I221" s="46"/>
      <c r="J221" s="49" t="str">
        <f>IF(H221="","",(#REF!/H221)+(#REF!/#REF!))</f>
        <v/>
      </c>
      <c r="K221" s="49" t="str">
        <f>IF(H221="","",J221/12)</f>
        <v/>
      </c>
      <c r="U221" s="73"/>
      <c r="W221" s="48"/>
      <c r="X221" s="48"/>
      <c r="Y221" s="48"/>
      <c r="Z221" s="48"/>
      <c r="AA221" s="48"/>
      <c r="AB221" s="48"/>
      <c r="AC221" s="48"/>
      <c r="AD221" s="48"/>
      <c r="AE221" s="48"/>
      <c r="AF221" s="48"/>
      <c r="AG221" s="48"/>
      <c r="AH221" s="48"/>
    </row>
    <row r="222" spans="1:43" ht="12" customHeight="1" x14ac:dyDescent="0.2">
      <c r="C222" s="42" t="s">
        <v>42</v>
      </c>
      <c r="D222" s="42" t="s">
        <v>42</v>
      </c>
      <c r="E222" s="11"/>
      <c r="F222" s="11"/>
      <c r="G222" s="11"/>
      <c r="H222" s="46"/>
      <c r="I222" s="46"/>
      <c r="J222" s="54"/>
      <c r="K222" s="54"/>
      <c r="L222" s="49"/>
      <c r="M222" s="49"/>
      <c r="AI222" s="45"/>
    </row>
    <row r="223" spans="1:43" ht="12" customHeight="1" x14ac:dyDescent="0.2">
      <c r="A223" s="45" t="str">
        <f>"all"&amp;"roll off"&amp;C223</f>
        <v>allroll offDRHAUL20</v>
      </c>
      <c r="B223" s="1" t="str">
        <f>"ridge"&amp;"roll off"&amp;C223</f>
        <v>ridgeroll offDRHAUL20</v>
      </c>
      <c r="C223" s="58" t="s">
        <v>619</v>
      </c>
      <c r="D223" s="58" t="s">
        <v>630</v>
      </c>
      <c r="E223" s="11">
        <v>240.5</v>
      </c>
      <c r="F223" s="11">
        <v>252.53000000000003</v>
      </c>
      <c r="G223" s="11">
        <v>252.53</v>
      </c>
      <c r="H223" s="55"/>
      <c r="I223" s="14">
        <v>0</v>
      </c>
      <c r="J223" s="14">
        <v>481</v>
      </c>
      <c r="K223" s="14">
        <v>481</v>
      </c>
      <c r="L223" s="14">
        <v>252.53</v>
      </c>
      <c r="M223" s="14">
        <v>505.06</v>
      </c>
      <c r="N223" s="14">
        <v>0</v>
      </c>
      <c r="O223" s="14">
        <v>505.06</v>
      </c>
      <c r="P223" s="14">
        <v>505.06</v>
      </c>
      <c r="Q223" s="14">
        <v>1515.18</v>
      </c>
      <c r="R223" s="14">
        <v>0</v>
      </c>
      <c r="S223" s="14">
        <v>252.53</v>
      </c>
      <c r="T223" s="14">
        <v>1010.12</v>
      </c>
      <c r="U223" s="73">
        <f>SUM(I223:T223)</f>
        <v>5507.54</v>
      </c>
      <c r="W223" s="49">
        <f t="shared" ref="W223:Y226" si="130">IFERROR(I223/$E223,0)</f>
        <v>0</v>
      </c>
      <c r="X223" s="49">
        <f t="shared" si="130"/>
        <v>2</v>
      </c>
      <c r="Y223" s="49">
        <f t="shared" si="130"/>
        <v>2</v>
      </c>
      <c r="Z223" s="49">
        <f t="shared" ref="Z223:AE226" si="131">IFERROR(L223/$F223,0)</f>
        <v>0.99999999999999989</v>
      </c>
      <c r="AA223" s="49">
        <f t="shared" si="131"/>
        <v>1.9999999999999998</v>
      </c>
      <c r="AB223" s="49">
        <f t="shared" si="131"/>
        <v>0</v>
      </c>
      <c r="AC223" s="49">
        <f t="shared" si="131"/>
        <v>1.9999999999999998</v>
      </c>
      <c r="AD223" s="49">
        <f t="shared" si="131"/>
        <v>1.9999999999999998</v>
      </c>
      <c r="AE223" s="49">
        <f t="shared" si="131"/>
        <v>5.9999999999999991</v>
      </c>
      <c r="AF223" s="49">
        <f t="shared" ref="AF223:AH226" si="132">IFERROR(R223/$G223,0)</f>
        <v>0</v>
      </c>
      <c r="AG223" s="49">
        <f t="shared" si="132"/>
        <v>1</v>
      </c>
      <c r="AH223" s="49">
        <f t="shared" si="132"/>
        <v>4</v>
      </c>
      <c r="AI223" s="47">
        <f>+IFERROR(AVERAGE(W223:AH223),0)</f>
        <v>1.8333333333333333</v>
      </c>
      <c r="AJ223" s="134">
        <f>SUM(W223:AH223)</f>
        <v>22</v>
      </c>
      <c r="AL223" s="1">
        <v>0</v>
      </c>
      <c r="AM223" s="13">
        <f>+$AI223*AL223</f>
        <v>0</v>
      </c>
      <c r="AN223" s="1">
        <v>0</v>
      </c>
      <c r="AO223" s="13">
        <f>+$AI223*AN223</f>
        <v>0</v>
      </c>
      <c r="AP223" s="1">
        <v>1</v>
      </c>
      <c r="AQ223" s="13">
        <f>+$AI223*AP223</f>
        <v>1.8333333333333333</v>
      </c>
    </row>
    <row r="224" spans="1:43" ht="12" customHeight="1" x14ac:dyDescent="0.2">
      <c r="A224" s="45" t="str">
        <f>"all"&amp;"roll off"&amp;C224</f>
        <v>allroll offDRHAUL30</v>
      </c>
      <c r="B224" s="1" t="str">
        <f>"ridge"&amp;"roll off"&amp;C224</f>
        <v>ridgeroll offDRHAUL30</v>
      </c>
      <c r="C224" s="58" t="s">
        <v>620</v>
      </c>
      <c r="D224" s="58" t="s">
        <v>631</v>
      </c>
      <c r="E224" s="11">
        <v>240.5</v>
      </c>
      <c r="F224" s="11">
        <v>252.53000000000003</v>
      </c>
      <c r="G224" s="11">
        <v>252.53</v>
      </c>
      <c r="H224" s="55"/>
      <c r="I224" s="14">
        <v>240.5</v>
      </c>
      <c r="J224" s="14">
        <v>240.5</v>
      </c>
      <c r="K224" s="14">
        <v>962</v>
      </c>
      <c r="L224" s="14">
        <v>1010.12</v>
      </c>
      <c r="M224" s="14">
        <v>1515.18</v>
      </c>
      <c r="N224" s="14">
        <v>1515.18</v>
      </c>
      <c r="O224" s="14">
        <v>2020.24</v>
      </c>
      <c r="P224" s="14">
        <v>1515.18</v>
      </c>
      <c r="Q224" s="14">
        <v>1767.71</v>
      </c>
      <c r="R224" s="14">
        <v>2272.77</v>
      </c>
      <c r="S224" s="14">
        <v>2272.77</v>
      </c>
      <c r="T224" s="14">
        <v>2837.65</v>
      </c>
      <c r="U224" s="73">
        <f>SUM(I224:T224)</f>
        <v>18169.800000000003</v>
      </c>
      <c r="W224" s="49">
        <f t="shared" si="130"/>
        <v>1</v>
      </c>
      <c r="X224" s="49">
        <f t="shared" si="130"/>
        <v>1</v>
      </c>
      <c r="Y224" s="49">
        <f t="shared" si="130"/>
        <v>4</v>
      </c>
      <c r="Z224" s="49">
        <f t="shared" si="131"/>
        <v>3.9999999999999996</v>
      </c>
      <c r="AA224" s="49">
        <f t="shared" si="131"/>
        <v>5.9999999999999991</v>
      </c>
      <c r="AB224" s="49">
        <f t="shared" si="131"/>
        <v>5.9999999999999991</v>
      </c>
      <c r="AC224" s="49">
        <f t="shared" si="131"/>
        <v>7.9999999999999991</v>
      </c>
      <c r="AD224" s="49">
        <f t="shared" si="131"/>
        <v>5.9999999999999991</v>
      </c>
      <c r="AE224" s="49">
        <f t="shared" si="131"/>
        <v>6.9999999999999991</v>
      </c>
      <c r="AF224" s="49">
        <f t="shared" si="132"/>
        <v>9</v>
      </c>
      <c r="AG224" s="49">
        <f t="shared" si="132"/>
        <v>9</v>
      </c>
      <c r="AH224" s="49">
        <f t="shared" si="132"/>
        <v>11.236882746604364</v>
      </c>
      <c r="AI224" s="47">
        <f>+IFERROR(AVERAGE(W224:AH224),0)</f>
        <v>6.0197402288836974</v>
      </c>
      <c r="AJ224" s="134">
        <f>SUM(W224:AH224)</f>
        <v>72.236882746604365</v>
      </c>
      <c r="AL224" s="1">
        <v>0</v>
      </c>
      <c r="AM224" s="13">
        <f>+$AI224*AL224</f>
        <v>0</v>
      </c>
      <c r="AN224" s="1">
        <v>0</v>
      </c>
      <c r="AO224" s="13">
        <f>+$AI224*AN224</f>
        <v>0</v>
      </c>
      <c r="AP224" s="1">
        <v>1</v>
      </c>
      <c r="AQ224" s="13">
        <f>+$AI224*AP224</f>
        <v>6.0197402288836974</v>
      </c>
    </row>
    <row r="225" spans="1:43" ht="12" customHeight="1" x14ac:dyDescent="0.2">
      <c r="A225" s="45" t="str">
        <f>"all"&amp;"roll off"&amp;C225</f>
        <v>allroll offDRHAUL40</v>
      </c>
      <c r="B225" s="1" t="str">
        <f>"ridge"&amp;"roll off"&amp;C225</f>
        <v>ridgeroll offDRHAUL40</v>
      </c>
      <c r="C225" s="58" t="s">
        <v>621</v>
      </c>
      <c r="D225" s="58" t="s">
        <v>632</v>
      </c>
      <c r="E225" s="11">
        <v>240.5</v>
      </c>
      <c r="F225" s="11">
        <v>252.53000000000003</v>
      </c>
      <c r="G225" s="11">
        <v>252.53</v>
      </c>
      <c r="H225" s="55"/>
      <c r="I225" s="14">
        <v>1202.5</v>
      </c>
      <c r="J225" s="14">
        <v>1202.5</v>
      </c>
      <c r="K225" s="14">
        <v>962</v>
      </c>
      <c r="L225" s="14">
        <v>1810.06</v>
      </c>
      <c r="M225" s="14">
        <v>2525.3000000000002</v>
      </c>
      <c r="N225" s="14">
        <v>1262.6500000000001</v>
      </c>
      <c r="O225" s="14">
        <v>2020.24</v>
      </c>
      <c r="P225" s="14">
        <v>1010.12</v>
      </c>
      <c r="Q225" s="14">
        <v>1515.18</v>
      </c>
      <c r="R225" s="14">
        <v>757.59</v>
      </c>
      <c r="S225" s="14">
        <v>2020.24</v>
      </c>
      <c r="T225" s="14">
        <v>1767.71</v>
      </c>
      <c r="U225" s="73">
        <f>SUM(I225:T225)</f>
        <v>18056.09</v>
      </c>
      <c r="W225" s="49">
        <f t="shared" si="130"/>
        <v>5</v>
      </c>
      <c r="X225" s="49">
        <f t="shared" si="130"/>
        <v>5</v>
      </c>
      <c r="Y225" s="49">
        <f t="shared" si="130"/>
        <v>4</v>
      </c>
      <c r="Z225" s="49">
        <f t="shared" si="131"/>
        <v>7.1677028471864714</v>
      </c>
      <c r="AA225" s="49">
        <f t="shared" si="131"/>
        <v>10</v>
      </c>
      <c r="AB225" s="49">
        <f t="shared" si="131"/>
        <v>5</v>
      </c>
      <c r="AC225" s="49">
        <f t="shared" si="131"/>
        <v>7.9999999999999991</v>
      </c>
      <c r="AD225" s="49">
        <f t="shared" si="131"/>
        <v>3.9999999999999996</v>
      </c>
      <c r="AE225" s="49">
        <f t="shared" si="131"/>
        <v>5.9999999999999991</v>
      </c>
      <c r="AF225" s="49">
        <f t="shared" si="132"/>
        <v>3</v>
      </c>
      <c r="AG225" s="49">
        <f t="shared" si="132"/>
        <v>8</v>
      </c>
      <c r="AH225" s="49">
        <f t="shared" si="132"/>
        <v>7</v>
      </c>
      <c r="AI225" s="47">
        <f>+IFERROR(AVERAGE(W225:AH225),0)</f>
        <v>6.01397523726554</v>
      </c>
      <c r="AJ225" s="134">
        <f>SUM(W225:AH225)</f>
        <v>72.167702847186476</v>
      </c>
      <c r="AL225" s="1">
        <v>0</v>
      </c>
      <c r="AM225" s="13">
        <f>+$AI225*AL225</f>
        <v>0</v>
      </c>
      <c r="AN225" s="1">
        <v>0</v>
      </c>
      <c r="AO225" s="13">
        <f>+$AI225*AN225</f>
        <v>0</v>
      </c>
      <c r="AP225" s="1">
        <v>1</v>
      </c>
      <c r="AQ225" s="13">
        <f>+$AI225*AP225</f>
        <v>6.01397523726554</v>
      </c>
    </row>
    <row r="226" spans="1:43" ht="12" customHeight="1" x14ac:dyDescent="0.2">
      <c r="A226" s="45" t="str">
        <f>"all"&amp;"roll off"&amp;C226</f>
        <v>allroll offDRHAUL15</v>
      </c>
      <c r="B226" s="1" t="str">
        <f>"ridge"&amp;"roll off"&amp;C226</f>
        <v>ridgeroll offDRHAUL15</v>
      </c>
      <c r="C226" s="58" t="s">
        <v>618</v>
      </c>
      <c r="D226" s="58" t="s">
        <v>629</v>
      </c>
      <c r="E226" s="11">
        <v>240.5</v>
      </c>
      <c r="F226" s="11">
        <v>252.53000000000003</v>
      </c>
      <c r="G226" s="11">
        <v>252.53</v>
      </c>
      <c r="H226" s="55"/>
      <c r="I226" s="14">
        <v>0</v>
      </c>
      <c r="J226" s="14">
        <v>0</v>
      </c>
      <c r="K226" s="14">
        <v>0</v>
      </c>
      <c r="L226" s="14">
        <v>240.5</v>
      </c>
      <c r="M226" s="14">
        <v>0</v>
      </c>
      <c r="N226" s="14">
        <v>0</v>
      </c>
      <c r="O226" s="14">
        <v>757.59</v>
      </c>
      <c r="P226" s="14">
        <v>0</v>
      </c>
      <c r="Q226" s="14">
        <v>0</v>
      </c>
      <c r="R226" s="14">
        <v>252.53</v>
      </c>
      <c r="S226" s="14">
        <v>252.53</v>
      </c>
      <c r="T226" s="14">
        <v>252.53</v>
      </c>
      <c r="U226" s="73">
        <f>SUM(I226:T226)</f>
        <v>1755.68</v>
      </c>
      <c r="W226" s="49">
        <f t="shared" si="130"/>
        <v>0</v>
      </c>
      <c r="X226" s="49">
        <f t="shared" si="130"/>
        <v>0</v>
      </c>
      <c r="Y226" s="49">
        <f t="shared" si="130"/>
        <v>0</v>
      </c>
      <c r="Z226" s="49">
        <f t="shared" si="131"/>
        <v>0.95236209559260276</v>
      </c>
      <c r="AA226" s="49">
        <f t="shared" si="131"/>
        <v>0</v>
      </c>
      <c r="AB226" s="49">
        <f t="shared" si="131"/>
        <v>0</v>
      </c>
      <c r="AC226" s="49">
        <f t="shared" si="131"/>
        <v>2.9999999999999996</v>
      </c>
      <c r="AD226" s="49">
        <f t="shared" si="131"/>
        <v>0</v>
      </c>
      <c r="AE226" s="49">
        <f t="shared" si="131"/>
        <v>0</v>
      </c>
      <c r="AF226" s="49">
        <f t="shared" si="132"/>
        <v>1</v>
      </c>
      <c r="AG226" s="49">
        <f t="shared" si="132"/>
        <v>1</v>
      </c>
      <c r="AH226" s="49">
        <f t="shared" si="132"/>
        <v>1</v>
      </c>
      <c r="AI226" s="47">
        <f>+IFERROR(AVERAGE(W226:AH226),0)</f>
        <v>0.57936350796605018</v>
      </c>
      <c r="AJ226" s="134">
        <f>SUM(W226:AH226)</f>
        <v>6.9523620955926022</v>
      </c>
      <c r="AL226" s="1">
        <v>0</v>
      </c>
      <c r="AM226" s="13">
        <f>+$AI226*AL226</f>
        <v>0</v>
      </c>
      <c r="AN226" s="1">
        <v>0</v>
      </c>
      <c r="AO226" s="13">
        <f>+$AI226*AN226</f>
        <v>0</v>
      </c>
      <c r="AP226" s="1">
        <v>1</v>
      </c>
      <c r="AQ226" s="13">
        <f>+$AI226*AP226</f>
        <v>0.57936350796605018</v>
      </c>
    </row>
    <row r="227" spans="1:43" ht="12" customHeight="1" x14ac:dyDescent="0.2">
      <c r="C227" s="40"/>
      <c r="D227" s="40"/>
      <c r="E227" s="11"/>
      <c r="F227" s="11"/>
      <c r="G227" s="11"/>
      <c r="H227" s="55"/>
      <c r="I227" s="46"/>
      <c r="J227" s="50"/>
      <c r="K227" s="48"/>
      <c r="L227" s="49"/>
      <c r="M227" s="49"/>
      <c r="P227" s="46"/>
      <c r="AI227" s="45"/>
    </row>
    <row r="228" spans="1:43" ht="12" customHeight="1" x14ac:dyDescent="0.2">
      <c r="C228" s="40"/>
      <c r="D228" s="52" t="s">
        <v>43</v>
      </c>
      <c r="E228" s="11"/>
      <c r="F228" s="11"/>
      <c r="G228" s="11"/>
      <c r="H228" s="55"/>
      <c r="I228" s="74">
        <f>SUM(I223:I227)</f>
        <v>1443</v>
      </c>
      <c r="J228" s="74">
        <f t="shared" ref="J228:U228" si="133">SUM(J223:J227)</f>
        <v>1924</v>
      </c>
      <c r="K228" s="74">
        <f t="shared" si="133"/>
        <v>2405</v>
      </c>
      <c r="L228" s="74">
        <f t="shared" si="133"/>
        <v>3313.21</v>
      </c>
      <c r="M228" s="74">
        <f t="shared" si="133"/>
        <v>4545.54</v>
      </c>
      <c r="N228" s="74">
        <f t="shared" si="133"/>
        <v>2777.83</v>
      </c>
      <c r="O228" s="74">
        <f t="shared" si="133"/>
        <v>5303.13</v>
      </c>
      <c r="P228" s="74">
        <f t="shared" si="133"/>
        <v>3030.36</v>
      </c>
      <c r="Q228" s="74">
        <f t="shared" si="133"/>
        <v>4798.0700000000006</v>
      </c>
      <c r="R228" s="74">
        <f t="shared" si="133"/>
        <v>3282.8900000000003</v>
      </c>
      <c r="S228" s="74">
        <f t="shared" si="133"/>
        <v>4798.07</v>
      </c>
      <c r="T228" s="74">
        <f t="shared" si="133"/>
        <v>5868.0099999999993</v>
      </c>
      <c r="U228" s="74">
        <f t="shared" si="133"/>
        <v>43489.110000000008</v>
      </c>
      <c r="W228" s="185">
        <f>+SUM(W223:W226)</f>
        <v>6</v>
      </c>
      <c r="X228" s="185">
        <f t="shared" ref="X228:AJ228" si="134">+SUM(X223:X226)</f>
        <v>8</v>
      </c>
      <c r="Y228" s="185">
        <f t="shared" si="134"/>
        <v>10</v>
      </c>
      <c r="Z228" s="185">
        <f t="shared" si="134"/>
        <v>13.120064942779074</v>
      </c>
      <c r="AA228" s="185">
        <f t="shared" si="134"/>
        <v>18</v>
      </c>
      <c r="AB228" s="185">
        <f t="shared" si="134"/>
        <v>11</v>
      </c>
      <c r="AC228" s="185">
        <f t="shared" si="134"/>
        <v>20.999999999999996</v>
      </c>
      <c r="AD228" s="185">
        <f t="shared" si="134"/>
        <v>11.999999999999998</v>
      </c>
      <c r="AE228" s="185">
        <f t="shared" si="134"/>
        <v>18.999999999999996</v>
      </c>
      <c r="AF228" s="185">
        <f t="shared" si="134"/>
        <v>13</v>
      </c>
      <c r="AG228" s="185">
        <f t="shared" si="134"/>
        <v>19</v>
      </c>
      <c r="AH228" s="185">
        <f t="shared" si="134"/>
        <v>23.236882746604365</v>
      </c>
      <c r="AI228" s="185">
        <f t="shared" si="134"/>
        <v>14.446412307448622</v>
      </c>
      <c r="AJ228" s="185">
        <f t="shared" si="134"/>
        <v>173.35694768938345</v>
      </c>
      <c r="AM228" s="186">
        <f>SUM(AM223:AM226)</f>
        <v>0</v>
      </c>
      <c r="AO228" s="186">
        <f>SUM(AO223:AO226)</f>
        <v>0</v>
      </c>
      <c r="AQ228" s="186">
        <f>SUM(AQ223:AQ226)</f>
        <v>14.446412307448622</v>
      </c>
    </row>
    <row r="229" spans="1:43" ht="12" customHeight="1" x14ac:dyDescent="0.2">
      <c r="C229" s="40"/>
      <c r="D229" s="52"/>
      <c r="E229" s="11"/>
      <c r="F229" s="11"/>
      <c r="G229" s="11"/>
      <c r="H229" s="55"/>
      <c r="I229" s="46"/>
      <c r="J229" s="54"/>
      <c r="K229" s="54"/>
      <c r="L229" s="49"/>
      <c r="M229" s="49"/>
      <c r="P229" s="46"/>
      <c r="AI229" s="45"/>
    </row>
    <row r="230" spans="1:43" ht="12" customHeight="1" x14ac:dyDescent="0.2">
      <c r="C230" s="62" t="s">
        <v>16</v>
      </c>
      <c r="D230" s="62" t="s">
        <v>16</v>
      </c>
      <c r="E230" s="11"/>
      <c r="F230" s="11"/>
      <c r="G230" s="11"/>
      <c r="H230" s="46"/>
      <c r="I230" s="46"/>
      <c r="J230" s="49"/>
      <c r="K230" s="49"/>
      <c r="AI230" s="45"/>
    </row>
    <row r="231" spans="1:43" ht="12" customHeight="1" x14ac:dyDescent="0.2">
      <c r="A231" s="45" t="str">
        <f t="shared" ref="A231:A238" si="135">"all"&amp;"roll off"&amp;C231</f>
        <v>allroll offDISP</v>
      </c>
      <c r="B231" s="1" t="str">
        <f t="shared" ref="B231:B238" si="136">"ridge"&amp;"roll off"&amp;C231</f>
        <v>ridgeroll offDISP</v>
      </c>
      <c r="C231" s="58" t="s">
        <v>394</v>
      </c>
      <c r="D231" s="58" t="s">
        <v>404</v>
      </c>
      <c r="E231" s="11">
        <v>94.46</v>
      </c>
      <c r="F231" s="11">
        <v>94.46</v>
      </c>
      <c r="G231" s="11">
        <v>99.43</v>
      </c>
      <c r="H231" s="76"/>
      <c r="I231" s="14">
        <v>45404.12</v>
      </c>
      <c r="J231" s="14">
        <v>48027.24</v>
      </c>
      <c r="K231" s="14">
        <v>56196.14</v>
      </c>
      <c r="L231" s="14">
        <v>37734.949999999997</v>
      </c>
      <c r="M231" s="14">
        <v>37738.699999999997</v>
      </c>
      <c r="N231" s="14">
        <v>33742.980000000003</v>
      </c>
      <c r="O231" s="14">
        <v>37944.58</v>
      </c>
      <c r="P231" s="14">
        <v>42825.35</v>
      </c>
      <c r="Q231" s="14">
        <v>44138.36</v>
      </c>
      <c r="R231" s="14">
        <v>46927.76</v>
      </c>
      <c r="S231" s="14">
        <v>34840.26</v>
      </c>
      <c r="T231" s="14">
        <v>40405.339999999997</v>
      </c>
      <c r="U231" s="73">
        <f t="shared" ref="U231:U238" si="137">SUM(I231:T231)</f>
        <v>505925.78</v>
      </c>
    </row>
    <row r="232" spans="1:43" ht="12" customHeight="1" x14ac:dyDescent="0.2">
      <c r="A232" s="45" t="str">
        <f t="shared" si="135"/>
        <v>allroll offFEE</v>
      </c>
      <c r="B232" s="1" t="str">
        <f t="shared" si="136"/>
        <v>ridgeroll offFEE</v>
      </c>
      <c r="C232" s="58" t="s">
        <v>395</v>
      </c>
      <c r="D232" s="58" t="s">
        <v>405</v>
      </c>
      <c r="E232" s="11">
        <v>10</v>
      </c>
      <c r="F232" s="11">
        <v>10</v>
      </c>
      <c r="G232" s="11">
        <v>10</v>
      </c>
      <c r="H232" s="76"/>
      <c r="I232" s="14">
        <v>1210</v>
      </c>
      <c r="J232" s="14">
        <v>1560</v>
      </c>
      <c r="K232" s="14">
        <v>1652.53</v>
      </c>
      <c r="L232" s="14">
        <v>1190</v>
      </c>
      <c r="M232" s="14">
        <v>1300</v>
      </c>
      <c r="N232" s="14">
        <v>1090</v>
      </c>
      <c r="O232" s="14">
        <v>1150</v>
      </c>
      <c r="P232" s="14">
        <v>1170</v>
      </c>
      <c r="Q232" s="14">
        <v>1050</v>
      </c>
      <c r="R232" s="14">
        <v>1195.3499999999999</v>
      </c>
      <c r="S232" s="14">
        <v>1080</v>
      </c>
      <c r="T232" s="14">
        <v>1150</v>
      </c>
      <c r="U232" s="73">
        <f t="shared" si="137"/>
        <v>14797.88</v>
      </c>
    </row>
    <row r="233" spans="1:43" ht="12" customHeight="1" x14ac:dyDescent="0.2">
      <c r="A233" s="45" t="str">
        <f t="shared" si="135"/>
        <v>allroll offPTON</v>
      </c>
      <c r="B233" s="1" t="str">
        <f t="shared" si="136"/>
        <v>ridgeroll offPTON</v>
      </c>
      <c r="C233" s="58" t="s">
        <v>640</v>
      </c>
      <c r="D233" s="58" t="s">
        <v>641</v>
      </c>
      <c r="E233" s="11">
        <v>0</v>
      </c>
      <c r="F233" s="11">
        <v>0</v>
      </c>
      <c r="G233" s="11">
        <v>0</v>
      </c>
      <c r="H233" s="76"/>
      <c r="I233" s="14">
        <v>0</v>
      </c>
      <c r="J233" s="14">
        <v>7.0000000000000007E-2</v>
      </c>
      <c r="K233" s="14">
        <v>0.01</v>
      </c>
      <c r="L233" s="14">
        <v>203.25</v>
      </c>
      <c r="M233" s="14">
        <v>0.05</v>
      </c>
      <c r="N233" s="14">
        <v>0.01</v>
      </c>
      <c r="O233" s="14">
        <v>84.13</v>
      </c>
      <c r="P233" s="14">
        <v>0.11</v>
      </c>
      <c r="Q233" s="14">
        <v>0.3</v>
      </c>
      <c r="R233" s="14">
        <v>0</v>
      </c>
      <c r="S233" s="14">
        <v>0.09</v>
      </c>
      <c r="T233" s="14">
        <v>7.0000000000000007E-2</v>
      </c>
      <c r="U233" s="73">
        <f t="shared" si="137"/>
        <v>288.08999999999997</v>
      </c>
    </row>
    <row r="234" spans="1:43" ht="12" customHeight="1" x14ac:dyDescent="0.2">
      <c r="A234" s="45" t="str">
        <f t="shared" si="135"/>
        <v>allroll offDRMIX</v>
      </c>
      <c r="B234" s="1" t="str">
        <f t="shared" si="136"/>
        <v>ridgeroll offDRMIX</v>
      </c>
      <c r="C234" s="58" t="s">
        <v>723</v>
      </c>
      <c r="D234" s="58" t="s">
        <v>724</v>
      </c>
      <c r="E234" s="11">
        <v>3</v>
      </c>
      <c r="F234" s="11">
        <v>3</v>
      </c>
      <c r="G234" s="11">
        <v>3</v>
      </c>
      <c r="H234" s="76"/>
      <c r="I234" s="14">
        <v>456.48</v>
      </c>
      <c r="J234" s="14">
        <v>161.84</v>
      </c>
      <c r="K234" s="14">
        <v>0</v>
      </c>
      <c r="L234" s="14">
        <v>60.48</v>
      </c>
      <c r="M234" s="14">
        <v>47.45</v>
      </c>
      <c r="N234" s="14">
        <v>0</v>
      </c>
      <c r="O234" s="14">
        <v>0</v>
      </c>
      <c r="P234" s="14">
        <v>0</v>
      </c>
      <c r="Q234" s="14">
        <v>0</v>
      </c>
      <c r="R234" s="14">
        <v>0</v>
      </c>
      <c r="S234" s="14">
        <v>0</v>
      </c>
      <c r="T234" s="14">
        <v>75.989999999999995</v>
      </c>
      <c r="U234" s="73">
        <f t="shared" si="137"/>
        <v>802.24000000000012</v>
      </c>
    </row>
    <row r="235" spans="1:43" ht="12" customHeight="1" x14ac:dyDescent="0.2">
      <c r="A235" s="45" t="str">
        <f t="shared" si="135"/>
        <v>allroll offYDDISP</v>
      </c>
      <c r="B235" s="1" t="str">
        <f t="shared" si="136"/>
        <v>ridgeroll offYDDISP</v>
      </c>
      <c r="C235" s="58" t="s">
        <v>1136</v>
      </c>
      <c r="D235" s="58" t="s">
        <v>1137</v>
      </c>
      <c r="E235" s="11">
        <v>32.340000000000003</v>
      </c>
      <c r="F235" s="11">
        <v>32.340000000000003</v>
      </c>
      <c r="G235" s="11">
        <v>32.340000000000003</v>
      </c>
      <c r="H235" s="76"/>
      <c r="I235" s="14">
        <v>0</v>
      </c>
      <c r="J235" s="14">
        <v>0</v>
      </c>
      <c r="K235" s="14">
        <v>350</v>
      </c>
      <c r="L235" s="14">
        <v>0</v>
      </c>
      <c r="M235" s="14">
        <v>0</v>
      </c>
      <c r="N235" s="14">
        <v>0</v>
      </c>
      <c r="O235" s="14">
        <v>0</v>
      </c>
      <c r="P235" s="14">
        <v>0</v>
      </c>
      <c r="Q235" s="14">
        <v>0</v>
      </c>
      <c r="R235" s="14">
        <v>0</v>
      </c>
      <c r="S235" s="14">
        <v>0</v>
      </c>
      <c r="T235" s="14">
        <v>0</v>
      </c>
      <c r="U235" s="73">
        <f t="shared" si="137"/>
        <v>350</v>
      </c>
    </row>
    <row r="236" spans="1:43" ht="12" customHeight="1" x14ac:dyDescent="0.2">
      <c r="A236" s="45" t="str">
        <f t="shared" si="135"/>
        <v>allroll offDRCONCRETE</v>
      </c>
      <c r="B236" s="1" t="str">
        <f t="shared" si="136"/>
        <v>ridgeroll offDRCONCRETE</v>
      </c>
      <c r="C236" s="58" t="s">
        <v>1132</v>
      </c>
      <c r="D236" s="58" t="s">
        <v>1133</v>
      </c>
      <c r="E236" s="11">
        <v>11</v>
      </c>
      <c r="F236" s="11">
        <v>11</v>
      </c>
      <c r="G236" s="11">
        <v>11</v>
      </c>
      <c r="H236" s="76"/>
      <c r="I236" s="14">
        <v>0</v>
      </c>
      <c r="J236" s="14">
        <v>0</v>
      </c>
      <c r="K236" s="14">
        <v>0</v>
      </c>
      <c r="L236" s="14">
        <v>182</v>
      </c>
      <c r="M236" s="14">
        <v>0</v>
      </c>
      <c r="N236" s="14">
        <v>0</v>
      </c>
      <c r="O236" s="14">
        <v>239.38</v>
      </c>
      <c r="P236" s="14">
        <v>0</v>
      </c>
      <c r="Q236" s="14">
        <v>0</v>
      </c>
      <c r="R236" s="14">
        <v>104.94</v>
      </c>
      <c r="S236" s="14">
        <v>0</v>
      </c>
      <c r="T236" s="14">
        <v>65</v>
      </c>
      <c r="U236" s="73">
        <f t="shared" si="137"/>
        <v>591.31999999999994</v>
      </c>
    </row>
    <row r="237" spans="1:43" ht="12" customHeight="1" x14ac:dyDescent="0.2">
      <c r="A237" s="45" t="str">
        <f t="shared" si="135"/>
        <v>allroll offDRDEMO</v>
      </c>
      <c r="B237" s="1" t="str">
        <f t="shared" si="136"/>
        <v>ridgeroll offDRDEMO</v>
      </c>
      <c r="C237" s="58" t="s">
        <v>1130</v>
      </c>
      <c r="D237" s="58" t="s">
        <v>1131</v>
      </c>
      <c r="E237" s="11">
        <v>75.2</v>
      </c>
      <c r="F237" s="11">
        <v>75.2</v>
      </c>
      <c r="G237" s="11">
        <v>75.2</v>
      </c>
      <c r="H237" s="76"/>
      <c r="I237" s="14">
        <v>0</v>
      </c>
      <c r="J237" s="14">
        <v>0</v>
      </c>
      <c r="K237" s="14">
        <v>0</v>
      </c>
      <c r="L237" s="14">
        <v>0</v>
      </c>
      <c r="M237" s="14">
        <v>177.64</v>
      </c>
      <c r="N237" s="14">
        <v>396.85</v>
      </c>
      <c r="O237" s="14">
        <v>925.97</v>
      </c>
      <c r="P237" s="14">
        <v>0</v>
      </c>
      <c r="Q237" s="14">
        <v>425.57</v>
      </c>
      <c r="R237" s="14">
        <v>517.79</v>
      </c>
      <c r="S237" s="14">
        <v>0</v>
      </c>
      <c r="T237" s="14">
        <v>367.47</v>
      </c>
      <c r="U237" s="73">
        <f t="shared" si="137"/>
        <v>2811.29</v>
      </c>
    </row>
    <row r="238" spans="1:43" ht="12" customHeight="1" x14ac:dyDescent="0.2">
      <c r="A238" s="45" t="str">
        <f t="shared" si="135"/>
        <v>allroll offDRWOOD</v>
      </c>
      <c r="B238" s="1" t="str">
        <f t="shared" si="136"/>
        <v>ridgeroll offDRWOOD</v>
      </c>
      <c r="C238" s="58" t="s">
        <v>1134</v>
      </c>
      <c r="D238" s="58" t="s">
        <v>1135</v>
      </c>
      <c r="E238" s="11">
        <v>36.51</v>
      </c>
      <c r="F238" s="11">
        <v>36.51</v>
      </c>
      <c r="G238" s="11">
        <v>36.51</v>
      </c>
      <c r="H238" s="76"/>
      <c r="I238" s="14">
        <v>32.18</v>
      </c>
      <c r="J238" s="14">
        <v>0</v>
      </c>
      <c r="K238" s="14">
        <v>137.51</v>
      </c>
      <c r="L238" s="14">
        <v>217.59</v>
      </c>
      <c r="M238" s="14">
        <v>1239.46</v>
      </c>
      <c r="N238" s="14">
        <v>710.8</v>
      </c>
      <c r="O238" s="14">
        <v>419.21</v>
      </c>
      <c r="P238" s="14">
        <v>545.85</v>
      </c>
      <c r="Q238" s="14">
        <v>268.43</v>
      </c>
      <c r="R238" s="14">
        <v>231.85</v>
      </c>
      <c r="S238" s="14">
        <v>325.06</v>
      </c>
      <c r="T238" s="14">
        <v>643.75</v>
      </c>
      <c r="U238" s="73">
        <f t="shared" si="137"/>
        <v>4771.6899999999996</v>
      </c>
    </row>
    <row r="239" spans="1:43" ht="12" customHeight="1" x14ac:dyDescent="0.2">
      <c r="E239" s="11"/>
      <c r="F239" s="11"/>
      <c r="G239" s="11"/>
      <c r="H239" s="46"/>
    </row>
    <row r="240" spans="1:43" ht="12" customHeight="1" x14ac:dyDescent="0.2">
      <c r="D240" s="52" t="s">
        <v>17</v>
      </c>
      <c r="E240" s="11"/>
      <c r="F240" s="11"/>
      <c r="G240" s="11"/>
      <c r="H240" s="77"/>
      <c r="I240" s="74">
        <f t="shared" ref="I240:U240" si="138">SUM(I231:I239)</f>
        <v>47102.780000000006</v>
      </c>
      <c r="J240" s="74">
        <f t="shared" si="138"/>
        <v>49749.149999999994</v>
      </c>
      <c r="K240" s="74">
        <f t="shared" si="138"/>
        <v>58336.19</v>
      </c>
      <c r="L240" s="74">
        <f t="shared" si="138"/>
        <v>39588.269999999997</v>
      </c>
      <c r="M240" s="74">
        <f t="shared" si="138"/>
        <v>40503.299999999996</v>
      </c>
      <c r="N240" s="74">
        <f t="shared" si="138"/>
        <v>35940.640000000007</v>
      </c>
      <c r="O240" s="74">
        <f t="shared" si="138"/>
        <v>40763.269999999997</v>
      </c>
      <c r="P240" s="74">
        <f t="shared" si="138"/>
        <v>44541.31</v>
      </c>
      <c r="Q240" s="74">
        <f t="shared" si="138"/>
        <v>45882.66</v>
      </c>
      <c r="R240" s="74">
        <f t="shared" si="138"/>
        <v>48977.69</v>
      </c>
      <c r="S240" s="74">
        <f t="shared" si="138"/>
        <v>36245.409999999996</v>
      </c>
      <c r="T240" s="74">
        <f t="shared" si="138"/>
        <v>42707.619999999995</v>
      </c>
      <c r="U240" s="74">
        <f t="shared" si="138"/>
        <v>530338.29</v>
      </c>
      <c r="W240" s="184"/>
      <c r="X240" s="184"/>
      <c r="Y240" s="184"/>
      <c r="Z240" s="184"/>
      <c r="AA240" s="184"/>
      <c r="AB240" s="184"/>
      <c r="AC240" s="184"/>
      <c r="AD240" s="184"/>
      <c r="AE240" s="184"/>
      <c r="AF240" s="184"/>
      <c r="AG240" s="184"/>
      <c r="AH240" s="184"/>
      <c r="AI240" s="190"/>
    </row>
    <row r="241" spans="2:45" ht="12" customHeight="1" x14ac:dyDescent="0.2">
      <c r="E241" s="11"/>
      <c r="F241" s="11"/>
      <c r="G241" s="11"/>
      <c r="H241" s="77"/>
      <c r="I241" s="44"/>
    </row>
    <row r="242" spans="2:45" ht="12" customHeight="1" x14ac:dyDescent="0.2">
      <c r="C242" s="71" t="s">
        <v>18</v>
      </c>
      <c r="D242" s="71" t="s">
        <v>18</v>
      </c>
      <c r="E242" s="11"/>
      <c r="F242" s="11"/>
      <c r="G242" s="11"/>
      <c r="H242" s="55"/>
      <c r="I242" s="46"/>
      <c r="J242" s="49" t="str">
        <f>IF(H242="","",(#REF!/H242)+(#REF!/#REF!))</f>
        <v/>
      </c>
      <c r="K242" s="49" t="str">
        <f>IF(H242="","",J242/12)</f>
        <v/>
      </c>
      <c r="U242" s="73"/>
      <c r="W242" s="48"/>
      <c r="X242" s="48"/>
      <c r="Y242" s="48"/>
      <c r="Z242" s="48"/>
      <c r="AA242" s="48"/>
      <c r="AB242" s="48"/>
      <c r="AC242" s="48"/>
      <c r="AD242" s="48"/>
      <c r="AE242" s="48"/>
      <c r="AF242" s="48"/>
      <c r="AG242" s="48"/>
      <c r="AH242" s="48"/>
    </row>
    <row r="243" spans="2:45" ht="12" customHeight="1" x14ac:dyDescent="0.2">
      <c r="B243" s="1" t="str">
        <f>"ridge"&amp;"accounting"&amp;C243</f>
        <v>ridgeaccountingFINCHG</v>
      </c>
      <c r="C243" s="58" t="s">
        <v>19</v>
      </c>
      <c r="D243" s="58" t="s">
        <v>20</v>
      </c>
      <c r="E243" s="11">
        <v>0</v>
      </c>
      <c r="F243" s="11">
        <v>0</v>
      </c>
      <c r="G243" s="11">
        <v>0</v>
      </c>
      <c r="H243" s="55"/>
      <c r="I243" s="14">
        <v>0</v>
      </c>
      <c r="J243" s="14">
        <v>0</v>
      </c>
      <c r="K243" s="14">
        <v>0</v>
      </c>
      <c r="L243" s="14">
        <v>0</v>
      </c>
      <c r="M243" s="14">
        <v>0</v>
      </c>
      <c r="N243" s="14">
        <v>0</v>
      </c>
      <c r="O243" s="14">
        <v>0</v>
      </c>
      <c r="P243" s="14">
        <v>0</v>
      </c>
      <c r="Q243" s="14">
        <v>4.6399999999999997</v>
      </c>
      <c r="R243" s="14">
        <v>0</v>
      </c>
      <c r="S243" s="14">
        <v>0</v>
      </c>
      <c r="T243" s="14">
        <v>0</v>
      </c>
      <c r="U243" s="73">
        <f>SUM(I243:T243)</f>
        <v>4.6399999999999997</v>
      </c>
      <c r="W243" s="48"/>
      <c r="X243" s="48"/>
      <c r="Y243" s="48"/>
      <c r="Z243" s="48"/>
      <c r="AA243" s="48"/>
      <c r="AB243" s="48"/>
      <c r="AC243" s="48"/>
      <c r="AD243" s="48"/>
      <c r="AE243" s="48"/>
      <c r="AF243" s="48"/>
      <c r="AG243" s="48"/>
      <c r="AH243" s="48"/>
    </row>
    <row r="244" spans="2:45" ht="12" customHeight="1" x14ac:dyDescent="0.2">
      <c r="C244" s="58"/>
      <c r="D244" s="58"/>
      <c r="E244" s="11"/>
      <c r="F244" s="11"/>
      <c r="G244" s="11"/>
      <c r="H244" s="55"/>
      <c r="I244" s="46"/>
      <c r="J244" s="49"/>
      <c r="K244" s="49"/>
      <c r="U244" s="73"/>
      <c r="W244" s="48"/>
      <c r="X244" s="48"/>
      <c r="Y244" s="48"/>
      <c r="Z244" s="48"/>
      <c r="AA244" s="48"/>
      <c r="AB244" s="48"/>
      <c r="AC244" s="48"/>
      <c r="AD244" s="48"/>
      <c r="AE244" s="48"/>
      <c r="AF244" s="48"/>
      <c r="AG244" s="48"/>
      <c r="AH244" s="48"/>
    </row>
    <row r="245" spans="2:45" ht="12" customHeight="1" x14ac:dyDescent="0.2">
      <c r="D245" s="52" t="s">
        <v>24</v>
      </c>
      <c r="E245" s="55"/>
      <c r="F245" s="55"/>
      <c r="G245" s="55"/>
      <c r="H245" s="55"/>
      <c r="I245" s="74">
        <f>SUM(I243)</f>
        <v>0</v>
      </c>
      <c r="J245" s="74">
        <f t="shared" ref="J245:T245" si="139">SUM(J243)</f>
        <v>0</v>
      </c>
      <c r="K245" s="74">
        <f t="shared" si="139"/>
        <v>0</v>
      </c>
      <c r="L245" s="74">
        <f t="shared" si="139"/>
        <v>0</v>
      </c>
      <c r="M245" s="74">
        <f t="shared" si="139"/>
        <v>0</v>
      </c>
      <c r="N245" s="74">
        <f t="shared" si="139"/>
        <v>0</v>
      </c>
      <c r="O245" s="74">
        <f t="shared" si="139"/>
        <v>0</v>
      </c>
      <c r="P245" s="74">
        <f t="shared" si="139"/>
        <v>0</v>
      </c>
      <c r="Q245" s="74">
        <f t="shared" si="139"/>
        <v>4.6399999999999997</v>
      </c>
      <c r="R245" s="74">
        <f t="shared" si="139"/>
        <v>0</v>
      </c>
      <c r="S245" s="74">
        <f t="shared" si="139"/>
        <v>0</v>
      </c>
      <c r="T245" s="74">
        <f t="shared" si="139"/>
        <v>0</v>
      </c>
      <c r="U245" s="74">
        <f>SUM(U243)</f>
        <v>4.6399999999999997</v>
      </c>
      <c r="W245" s="48"/>
      <c r="X245" s="48"/>
      <c r="Y245" s="48"/>
      <c r="Z245" s="48"/>
      <c r="AA245" s="48"/>
      <c r="AB245" s="48"/>
      <c r="AC245" s="48"/>
      <c r="AD245" s="48"/>
      <c r="AE245" s="48"/>
      <c r="AF245" s="48"/>
      <c r="AG245" s="48"/>
      <c r="AH245" s="48"/>
    </row>
    <row r="246" spans="2:45" ht="12" customHeight="1" x14ac:dyDescent="0.2"/>
    <row r="247" spans="2:45" ht="12" customHeight="1" thickBot="1" x14ac:dyDescent="0.25">
      <c r="D247" s="52" t="s">
        <v>25</v>
      </c>
      <c r="I247" s="80">
        <f t="shared" ref="I247:U247" si="140">SUM(I51,I64,I78,I123,I180,I220,I228,I240,I245)</f>
        <v>285938.02</v>
      </c>
      <c r="J247" s="80">
        <f t="shared" si="140"/>
        <v>305450.74</v>
      </c>
      <c r="K247" s="80">
        <f t="shared" si="140"/>
        <v>322367.82</v>
      </c>
      <c r="L247" s="80">
        <f t="shared" si="140"/>
        <v>294157.65999999997</v>
      </c>
      <c r="M247" s="80">
        <f t="shared" si="140"/>
        <v>305065.07999999996</v>
      </c>
      <c r="N247" s="80">
        <f t="shared" si="140"/>
        <v>290002.07999999996</v>
      </c>
      <c r="O247" s="80">
        <f t="shared" si="140"/>
        <v>302735.98</v>
      </c>
      <c r="P247" s="80">
        <f t="shared" si="140"/>
        <v>300428.82</v>
      </c>
      <c r="Q247" s="80">
        <f t="shared" si="140"/>
        <v>307889.86000000004</v>
      </c>
      <c r="R247" s="80">
        <f t="shared" si="140"/>
        <v>326833.98000000004</v>
      </c>
      <c r="S247" s="80">
        <f t="shared" si="140"/>
        <v>314719.43</v>
      </c>
      <c r="T247" s="80">
        <f t="shared" si="140"/>
        <v>329057.01</v>
      </c>
      <c r="U247" s="80">
        <f t="shared" si="140"/>
        <v>3684646.4799999995</v>
      </c>
    </row>
    <row r="248" spans="2:45" ht="12" customHeight="1" thickTop="1" x14ac:dyDescent="0.2">
      <c r="D248" s="135" t="s">
        <v>1103</v>
      </c>
      <c r="I248" s="134">
        <v>0</v>
      </c>
      <c r="J248" s="134">
        <v>0</v>
      </c>
      <c r="K248" s="134">
        <v>0</v>
      </c>
      <c r="L248" s="134">
        <v>0</v>
      </c>
      <c r="M248" s="134">
        <v>0</v>
      </c>
      <c r="N248" s="134">
        <v>0</v>
      </c>
      <c r="O248" s="134">
        <v>0</v>
      </c>
      <c r="P248" s="134">
        <v>0</v>
      </c>
      <c r="Q248" s="134">
        <v>0</v>
      </c>
      <c r="R248" s="134">
        <v>0</v>
      </c>
      <c r="S248" s="134">
        <v>0</v>
      </c>
      <c r="T248" s="134">
        <v>0</v>
      </c>
      <c r="U248" s="134">
        <v>0</v>
      </c>
    </row>
    <row r="249" spans="2:45" x14ac:dyDescent="0.2">
      <c r="D249" s="135" t="s">
        <v>1104</v>
      </c>
      <c r="I249" s="142">
        <v>285938.02</v>
      </c>
      <c r="J249" s="142">
        <v>305450.74</v>
      </c>
      <c r="K249" s="142">
        <v>322367.82000000007</v>
      </c>
      <c r="L249" s="142">
        <v>294157.65999999997</v>
      </c>
      <c r="M249" s="142">
        <v>305065.08000000007</v>
      </c>
      <c r="N249" s="142">
        <v>290002.07999999996</v>
      </c>
      <c r="O249" s="142">
        <v>302735.98000000004</v>
      </c>
      <c r="P249" s="142">
        <v>300428.81999999995</v>
      </c>
      <c r="Q249" s="142">
        <v>307889.85999999987</v>
      </c>
      <c r="R249" s="142">
        <v>326833.97999999981</v>
      </c>
      <c r="S249" s="142">
        <v>314719.43</v>
      </c>
      <c r="T249" s="142">
        <v>329057.00999999989</v>
      </c>
      <c r="U249" s="105">
        <f>SUM(I249:T249)</f>
        <v>3684646.4799999995</v>
      </c>
    </row>
    <row r="250" spans="2:45" x14ac:dyDescent="0.2">
      <c r="D250" s="135" t="s">
        <v>1105</v>
      </c>
      <c r="I250" s="104">
        <f>+I249+I248-I247</f>
        <v>0</v>
      </c>
      <c r="J250" s="104">
        <f t="shared" ref="J250:T250" si="141">+J249+J248-J247</f>
        <v>0</v>
      </c>
      <c r="K250" s="104">
        <f t="shared" si="141"/>
        <v>0</v>
      </c>
      <c r="L250" s="104">
        <f t="shared" si="141"/>
        <v>0</v>
      </c>
      <c r="M250" s="104">
        <f t="shared" si="141"/>
        <v>0</v>
      </c>
      <c r="N250" s="104">
        <f t="shared" si="141"/>
        <v>0</v>
      </c>
      <c r="O250" s="104">
        <f t="shared" si="141"/>
        <v>0</v>
      </c>
      <c r="P250" s="104">
        <f t="shared" si="141"/>
        <v>0</v>
      </c>
      <c r="Q250" s="104">
        <f t="shared" si="141"/>
        <v>0</v>
      </c>
      <c r="R250" s="104">
        <f t="shared" si="141"/>
        <v>0</v>
      </c>
      <c r="S250" s="104">
        <f t="shared" si="141"/>
        <v>0</v>
      </c>
      <c r="T250" s="104">
        <f t="shared" si="141"/>
        <v>0</v>
      </c>
      <c r="U250" s="105">
        <f>SUM(I250:T250)</f>
        <v>0</v>
      </c>
    </row>
    <row r="251" spans="2:45" x14ac:dyDescent="0.2">
      <c r="D251" s="135"/>
      <c r="U251" s="105"/>
      <c r="AI251" s="47">
        <f>AI51+AI64+AI78+AI123+AI180+AI220+AI228</f>
        <v>13016.608247238226</v>
      </c>
      <c r="AJ251" s="45" t="s">
        <v>1175</v>
      </c>
      <c r="AL251" s="62" t="s">
        <v>1350</v>
      </c>
      <c r="AM251" s="186">
        <f>+AM228+AM220+AM180+AM123+AM78+AM64+AM51</f>
        <v>12794.632700662431</v>
      </c>
      <c r="AO251" s="186">
        <f>+AO228+AO220+AO180+AO123+AO78+AO64+AO51</f>
        <v>152.82683739096899</v>
      </c>
      <c r="AQ251" s="186">
        <f>+AQ228+AQ220+AQ180+AQ123+AQ78+AQ64+AQ51</f>
        <v>52.287353165057482</v>
      </c>
      <c r="AS251" s="229">
        <f>+AM251+AO251+AQ251</f>
        <v>12999.746891218456</v>
      </c>
    </row>
    <row r="252" spans="2:45" x14ac:dyDescent="0.2">
      <c r="U252" s="136">
        <f>+U249+U248-U247</f>
        <v>0</v>
      </c>
      <c r="AH252" s="45" t="s">
        <v>1352</v>
      </c>
      <c r="AJ252" s="235">
        <f>+AJ123+AJ51</f>
        <v>68129.617082451514</v>
      </c>
    </row>
  </sheetData>
  <mergeCells count="3">
    <mergeCell ref="AL4:AM4"/>
    <mergeCell ref="AN4:AO4"/>
    <mergeCell ref="AP4:AQ4"/>
  </mergeCells>
  <conditionalFormatting sqref="AK1:AK78 AJ50 AK83:AK109 AK111:AK1048576">
    <cfRule type="cellIs" dxfId="4" priority="1" operator="greaterThan">
      <formula>0</formula>
    </cfRule>
  </conditionalFormatting>
  <pageMargins left="0.7" right="0.7" top="0.75" bottom="0.75" header="0.3" footer="0.3"/>
  <pageSetup fitToWidth="0" fitToHeight="0" orientation="portrait" r:id="rId1"/>
  <headerFooter alignWithMargins="0">
    <oddHeader>&amp;R&amp;F
&amp;A</oddHeader>
    <oddFooter>&amp;L&amp;D&amp;C&amp;P&amp;R&amp;T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theme="6" tint="0.59999389629810485"/>
  </sheetPr>
  <dimension ref="A1:AW460"/>
  <sheetViews>
    <sheetView showGridLines="0" view="pageBreakPreview" zoomScale="40" zoomScaleNormal="70" zoomScaleSheetLayoutView="40" workbookViewId="0">
      <pane xSplit="8" ySplit="5" topLeftCell="K36" activePane="bottomRight" state="frozen"/>
      <selection activeCell="M20" sqref="M20"/>
      <selection pane="topRight" activeCell="M20" sqref="M20"/>
      <selection pane="bottomLeft" activeCell="M20" sqref="M20"/>
      <selection pane="bottomRight" activeCell="D45" sqref="D45"/>
    </sheetView>
  </sheetViews>
  <sheetFormatPr defaultColWidth="9.140625" defaultRowHeight="12.75" outlineLevelCol="1" x14ac:dyDescent="0.2"/>
  <cols>
    <col min="1" max="1" width="9.140625" style="40"/>
    <col min="2" max="2" width="30.140625" style="40" customWidth="1"/>
    <col min="3" max="3" width="38.85546875" style="40" customWidth="1"/>
    <col min="4" max="4" width="29.140625" style="40" bestFit="1" customWidth="1"/>
    <col min="5" max="7" width="12.140625" style="40" bestFit="1" customWidth="1"/>
    <col min="8" max="8" width="2" style="40" customWidth="1"/>
    <col min="9" max="10" width="17.42578125" style="81" customWidth="1" outlineLevel="1"/>
    <col min="11" max="11" width="18.140625" style="40" customWidth="1" outlineLevel="1"/>
    <col min="12" max="12" width="17.42578125" style="40" customWidth="1" outlineLevel="1"/>
    <col min="13" max="13" width="17.140625" style="40" customWidth="1" outlineLevel="1"/>
    <col min="14" max="14" width="17.42578125" style="40" customWidth="1" outlineLevel="1"/>
    <col min="15" max="16" width="17.85546875" style="40" customWidth="1" outlineLevel="1"/>
    <col min="17" max="18" width="17.42578125" style="40" customWidth="1" outlineLevel="1"/>
    <col min="19" max="19" width="17.85546875" style="40" customWidth="1" outlineLevel="1"/>
    <col min="20" max="20" width="17.42578125" style="40" customWidth="1" outlineLevel="1"/>
    <col min="21" max="21" width="20.28515625" style="40" customWidth="1"/>
    <col min="22" max="22" width="9.140625" style="40"/>
    <col min="23" max="34" width="8.42578125" style="40" customWidth="1" outlineLevel="1"/>
    <col min="35" max="35" width="17.28515625" style="40" bestFit="1" customWidth="1"/>
    <col min="36" max="36" width="11" style="40" customWidth="1"/>
    <col min="37" max="37" width="9.140625" style="40"/>
    <col min="38" max="40" width="9.140625" style="40" customWidth="1" outlineLevel="1"/>
    <col min="41" max="41" width="10.140625" style="40" customWidth="1" outlineLevel="1"/>
    <col min="42" max="47" width="9.140625" style="40" customWidth="1" outlineLevel="1"/>
    <col min="48" max="48" width="9.140625" style="40"/>
    <col min="49" max="49" width="9.7109375" style="40" bestFit="1" customWidth="1"/>
    <col min="50" max="16384" width="9.140625" style="40"/>
  </cols>
  <sheetData>
    <row r="1" spans="2:47" ht="12" customHeight="1" x14ac:dyDescent="0.25">
      <c r="C1" s="57" t="s">
        <v>45</v>
      </c>
      <c r="D1" s="45"/>
      <c r="E1" s="53"/>
      <c r="F1" s="53"/>
      <c r="G1" s="53"/>
      <c r="H1" s="45"/>
      <c r="I1" s="46"/>
      <c r="J1" s="118"/>
      <c r="K1" s="89"/>
      <c r="L1" s="45"/>
      <c r="M1" s="45"/>
      <c r="N1" s="45"/>
      <c r="O1" s="45"/>
      <c r="P1" s="118"/>
      <c r="Q1" s="89"/>
      <c r="R1" s="45"/>
      <c r="S1" s="45"/>
      <c r="T1" s="45"/>
      <c r="U1" s="45"/>
      <c r="V1" s="45"/>
      <c r="W1" s="45"/>
      <c r="X1" s="45"/>
      <c r="Y1" s="45"/>
      <c r="Z1" s="45"/>
      <c r="AA1" s="45"/>
      <c r="AB1" s="45"/>
      <c r="AC1" s="45"/>
      <c r="AD1" s="45"/>
      <c r="AE1" s="45"/>
      <c r="AF1" s="45"/>
      <c r="AG1" s="45"/>
      <c r="AH1" s="45"/>
    </row>
    <row r="2" spans="2:47" ht="12" customHeight="1" x14ac:dyDescent="0.25">
      <c r="C2" s="57" t="s">
        <v>725</v>
      </c>
      <c r="D2" s="45"/>
      <c r="E2" s="53"/>
      <c r="F2" s="53"/>
      <c r="G2" s="53"/>
      <c r="H2" s="45"/>
      <c r="I2" s="46"/>
      <c r="J2" s="118"/>
      <c r="K2" s="89"/>
      <c r="L2" s="45"/>
      <c r="M2" s="45"/>
      <c r="N2" s="45"/>
      <c r="O2" s="45"/>
      <c r="P2" s="45"/>
      <c r="Q2" s="45"/>
      <c r="R2" s="45"/>
      <c r="S2" s="45"/>
      <c r="T2" s="45"/>
      <c r="U2" s="45"/>
      <c r="V2" s="45"/>
      <c r="W2" s="45"/>
      <c r="X2" s="45"/>
      <c r="Y2" s="45"/>
      <c r="Z2" s="45"/>
      <c r="AA2" s="45"/>
      <c r="AB2" s="45"/>
      <c r="AC2" s="45"/>
      <c r="AD2" s="45"/>
      <c r="AE2" s="45"/>
      <c r="AF2" s="45"/>
      <c r="AG2" s="45"/>
      <c r="AH2" s="45"/>
    </row>
    <row r="3" spans="2:47" ht="12" customHeight="1" x14ac:dyDescent="0.25">
      <c r="C3" s="2" t="s">
        <v>1371</v>
      </c>
      <c r="D3" s="45"/>
      <c r="E3" s="53"/>
      <c r="F3" s="53"/>
      <c r="G3" s="53"/>
      <c r="H3" s="45"/>
      <c r="I3" s="46"/>
      <c r="J3" s="118"/>
      <c r="K3" s="89"/>
      <c r="L3" s="63"/>
      <c r="M3" s="45"/>
      <c r="N3" s="45"/>
      <c r="O3" s="45"/>
      <c r="P3" s="45"/>
      <c r="Q3" s="45"/>
      <c r="R3" s="45"/>
      <c r="S3" s="45"/>
      <c r="T3" s="45"/>
      <c r="U3" s="45"/>
      <c r="V3" s="45"/>
      <c r="W3" s="45"/>
      <c r="X3" s="45"/>
      <c r="Y3" s="45"/>
      <c r="Z3" s="45"/>
      <c r="AA3" s="45"/>
      <c r="AB3" s="45"/>
      <c r="AC3" s="45"/>
      <c r="AD3" s="45"/>
      <c r="AE3" s="45"/>
      <c r="AF3" s="45"/>
      <c r="AG3" s="45"/>
      <c r="AH3" s="45"/>
      <c r="AJ3" s="45" t="s">
        <v>26</v>
      </c>
      <c r="AK3" s="45"/>
    </row>
    <row r="4" spans="2:47" ht="12" customHeight="1" x14ac:dyDescent="0.2">
      <c r="C4" s="45"/>
      <c r="D4" s="64"/>
      <c r="E4" s="293">
        <v>44927</v>
      </c>
      <c r="F4" s="293">
        <v>45108</v>
      </c>
      <c r="G4" s="293">
        <v>45292</v>
      </c>
      <c r="H4" s="45"/>
      <c r="I4" s="297">
        <v>45017</v>
      </c>
      <c r="J4" s="297">
        <v>45047</v>
      </c>
      <c r="K4" s="297">
        <v>45078</v>
      </c>
      <c r="L4" s="36">
        <v>45108</v>
      </c>
      <c r="M4" s="36">
        <v>45139</v>
      </c>
      <c r="N4" s="36">
        <v>45170</v>
      </c>
      <c r="O4" s="36">
        <v>45200</v>
      </c>
      <c r="P4" s="36">
        <v>45231</v>
      </c>
      <c r="Q4" s="36">
        <v>45261</v>
      </c>
      <c r="R4" s="38">
        <v>45292</v>
      </c>
      <c r="S4" s="38">
        <v>45323</v>
      </c>
      <c r="T4" s="38">
        <v>45352</v>
      </c>
      <c r="U4" s="91" t="s">
        <v>1370</v>
      </c>
      <c r="V4" s="45"/>
      <c r="W4" s="297">
        <v>45017</v>
      </c>
      <c r="X4" s="297">
        <v>45047</v>
      </c>
      <c r="Y4" s="297">
        <v>45078</v>
      </c>
      <c r="Z4" s="36">
        <v>45108</v>
      </c>
      <c r="AA4" s="36">
        <v>45139</v>
      </c>
      <c r="AB4" s="36">
        <v>45170</v>
      </c>
      <c r="AC4" s="36">
        <v>45200</v>
      </c>
      <c r="AD4" s="36">
        <v>45231</v>
      </c>
      <c r="AE4" s="36">
        <v>45261</v>
      </c>
      <c r="AF4" s="38">
        <v>45292</v>
      </c>
      <c r="AG4" s="38">
        <v>45323</v>
      </c>
      <c r="AH4" s="38">
        <v>45352</v>
      </c>
      <c r="AI4" s="91" t="s">
        <v>1370</v>
      </c>
      <c r="AJ4" s="215" t="s">
        <v>1333</v>
      </c>
      <c r="AK4" s="45"/>
      <c r="AN4" s="305" t="s">
        <v>1325</v>
      </c>
      <c r="AO4" s="306"/>
      <c r="AP4" s="305" t="s">
        <v>1326</v>
      </c>
      <c r="AQ4" s="306"/>
      <c r="AR4" s="305" t="s">
        <v>1327</v>
      </c>
      <c r="AS4" s="306"/>
      <c r="AT4" s="305" t="s">
        <v>1330</v>
      </c>
      <c r="AU4" s="306"/>
    </row>
    <row r="5" spans="2:47" ht="12" customHeight="1" x14ac:dyDescent="0.2">
      <c r="C5" s="67" t="s">
        <v>0</v>
      </c>
      <c r="D5" s="64" t="s">
        <v>1</v>
      </c>
      <c r="E5" s="68" t="s">
        <v>1305</v>
      </c>
      <c r="F5" s="68" t="s">
        <v>1305</v>
      </c>
      <c r="G5" s="68" t="s">
        <v>1305</v>
      </c>
      <c r="H5" s="64"/>
      <c r="I5" s="298" t="s">
        <v>21</v>
      </c>
      <c r="J5" s="298" t="s">
        <v>21</v>
      </c>
      <c r="K5" s="298" t="s">
        <v>21</v>
      </c>
      <c r="L5" s="37" t="s">
        <v>21</v>
      </c>
      <c r="M5" s="37" t="s">
        <v>21</v>
      </c>
      <c r="N5" s="37" t="s">
        <v>21</v>
      </c>
      <c r="O5" s="37" t="s">
        <v>21</v>
      </c>
      <c r="P5" s="37" t="s">
        <v>21</v>
      </c>
      <c r="Q5" s="37" t="s">
        <v>21</v>
      </c>
      <c r="R5" s="39" t="s">
        <v>21</v>
      </c>
      <c r="S5" s="39" t="s">
        <v>21</v>
      </c>
      <c r="T5" s="39" t="s">
        <v>21</v>
      </c>
      <c r="U5" s="37" t="s">
        <v>21</v>
      </c>
      <c r="V5" s="45"/>
      <c r="W5" s="69" t="s">
        <v>27</v>
      </c>
      <c r="X5" s="69" t="s">
        <v>27</v>
      </c>
      <c r="Y5" s="69" t="s">
        <v>27</v>
      </c>
      <c r="Z5" s="69" t="s">
        <v>27</v>
      </c>
      <c r="AA5" s="69" t="s">
        <v>27</v>
      </c>
      <c r="AB5" s="69" t="s">
        <v>27</v>
      </c>
      <c r="AC5" s="69" t="s">
        <v>27</v>
      </c>
      <c r="AD5" s="69" t="s">
        <v>27</v>
      </c>
      <c r="AE5" s="69" t="s">
        <v>27</v>
      </c>
      <c r="AF5" s="69" t="s">
        <v>27</v>
      </c>
      <c r="AG5" s="69" t="s">
        <v>27</v>
      </c>
      <c r="AH5" s="69" t="s">
        <v>27</v>
      </c>
      <c r="AI5" s="69" t="s">
        <v>27</v>
      </c>
      <c r="AJ5" s="216" t="s">
        <v>27</v>
      </c>
      <c r="AK5" s="45"/>
      <c r="AN5" s="209" t="s">
        <v>1328</v>
      </c>
      <c r="AO5" s="210" t="s">
        <v>1329</v>
      </c>
      <c r="AP5" s="209" t="s">
        <v>1328</v>
      </c>
      <c r="AQ5" s="210" t="s">
        <v>1329</v>
      </c>
      <c r="AR5" s="209" t="s">
        <v>1328</v>
      </c>
      <c r="AS5" s="210" t="s">
        <v>1329</v>
      </c>
      <c r="AT5" s="209" t="s">
        <v>1328</v>
      </c>
      <c r="AU5" s="210" t="s">
        <v>1329</v>
      </c>
    </row>
    <row r="6" spans="2:47" ht="12" customHeight="1" x14ac:dyDescent="0.2">
      <c r="AJ6" s="45"/>
      <c r="AK6" s="45"/>
    </row>
    <row r="7" spans="2:47" s="45" customFormat="1" ht="12" customHeight="1" x14ac:dyDescent="0.2">
      <c r="E7" s="53"/>
      <c r="F7" s="53"/>
      <c r="G7" s="53"/>
      <c r="I7" s="45">
        <v>7</v>
      </c>
      <c r="J7" s="45">
        <v>8</v>
      </c>
      <c r="K7" s="45">
        <v>9</v>
      </c>
      <c r="L7" s="45">
        <v>10</v>
      </c>
      <c r="M7" s="45">
        <v>8</v>
      </c>
      <c r="N7" s="45">
        <v>9</v>
      </c>
      <c r="O7" s="45">
        <v>10</v>
      </c>
      <c r="P7" s="45">
        <v>11</v>
      </c>
      <c r="Q7" s="45">
        <v>12</v>
      </c>
      <c r="R7" s="45">
        <v>13</v>
      </c>
      <c r="S7" s="45">
        <v>14</v>
      </c>
      <c r="T7" s="45">
        <v>15</v>
      </c>
      <c r="AI7" s="40"/>
    </row>
    <row r="8" spans="2:47" s="45" customFormat="1" ht="12" customHeight="1" x14ac:dyDescent="0.2">
      <c r="E8" s="53" t="s">
        <v>1114</v>
      </c>
      <c r="F8" s="53" t="s">
        <v>1114</v>
      </c>
      <c r="G8" s="53" t="s">
        <v>1114</v>
      </c>
      <c r="H8" s="44"/>
      <c r="I8" s="115">
        <v>0</v>
      </c>
      <c r="J8" s="115">
        <v>0</v>
      </c>
      <c r="K8" s="115">
        <v>0</v>
      </c>
      <c r="L8" s="115">
        <v>0</v>
      </c>
      <c r="M8" s="115">
        <v>0</v>
      </c>
      <c r="N8" s="115">
        <v>0</v>
      </c>
      <c r="O8" s="115">
        <v>0</v>
      </c>
      <c r="P8" s="115">
        <v>0</v>
      </c>
      <c r="Q8" s="115">
        <v>0</v>
      </c>
      <c r="R8" s="115">
        <v>0</v>
      </c>
      <c r="S8" s="115">
        <v>0</v>
      </c>
      <c r="T8" s="115">
        <v>0</v>
      </c>
      <c r="AI8" s="40"/>
    </row>
    <row r="9" spans="2:47" s="45" customFormat="1" ht="12" customHeight="1" x14ac:dyDescent="0.2">
      <c r="C9" s="70" t="s">
        <v>2</v>
      </c>
      <c r="D9" s="70" t="s">
        <v>2</v>
      </c>
      <c r="E9" s="53"/>
      <c r="F9" s="53"/>
      <c r="G9" s="53"/>
      <c r="H9" s="44"/>
      <c r="I9" s="77"/>
      <c r="J9" s="46"/>
      <c r="AI9" s="40"/>
    </row>
    <row r="10" spans="2:47" s="45" customFormat="1" ht="12" customHeight="1" x14ac:dyDescent="0.2">
      <c r="C10" s="70"/>
      <c r="D10" s="70"/>
      <c r="E10" s="53"/>
      <c r="F10" s="53"/>
      <c r="G10" s="53"/>
      <c r="H10" s="44"/>
      <c r="I10" s="77"/>
      <c r="J10" s="46"/>
      <c r="AI10" s="40"/>
    </row>
    <row r="11" spans="2:47" s="45" customFormat="1" x14ac:dyDescent="0.2">
      <c r="C11" s="42" t="s">
        <v>3</v>
      </c>
      <c r="D11" s="42" t="s">
        <v>3</v>
      </c>
      <c r="E11" s="55"/>
      <c r="F11" s="55"/>
      <c r="G11" s="55"/>
      <c r="H11" s="55"/>
      <c r="I11" s="46"/>
      <c r="J11" s="46"/>
      <c r="K11" s="49"/>
      <c r="L11" s="48"/>
      <c r="M11" s="48"/>
      <c r="N11" s="48"/>
      <c r="O11" s="48"/>
      <c r="P11" s="48"/>
      <c r="Q11" s="48"/>
      <c r="R11" s="48"/>
      <c r="S11" s="49"/>
      <c r="T11" s="49"/>
      <c r="U11" s="73"/>
      <c r="AN11" s="212">
        <v>1</v>
      </c>
      <c r="AO11" s="25">
        <f t="shared" ref="AO11:AO24" si="0">+$AI11*AN11</f>
        <v>0</v>
      </c>
      <c r="AP11" s="212">
        <v>0</v>
      </c>
      <c r="AQ11" s="25">
        <f t="shared" ref="AQ11:AQ24" si="1">+$AI11*AP11</f>
        <v>0</v>
      </c>
      <c r="AR11" s="212">
        <v>0</v>
      </c>
      <c r="AS11" s="25">
        <f t="shared" ref="AS11:AS24" si="2">+$AI11*AR11</f>
        <v>0</v>
      </c>
      <c r="AT11" s="212">
        <v>0</v>
      </c>
      <c r="AU11" s="25">
        <f t="shared" ref="AU11:AU44" si="3">+$AI11*AT11</f>
        <v>0</v>
      </c>
    </row>
    <row r="12" spans="2:47" s="253" customFormat="1" x14ac:dyDescent="0.2">
      <c r="B12" s="241" t="str">
        <f>"Vanc"&amp;"residential"&amp;C12</f>
        <v>VancresidentialVRA20EOWCO</v>
      </c>
      <c r="C12" s="232" t="s">
        <v>726</v>
      </c>
      <c r="D12" s="232" t="s">
        <v>751</v>
      </c>
      <c r="E12" s="238">
        <v>20.6</v>
      </c>
      <c r="F12" s="238">
        <v>20.6</v>
      </c>
      <c r="G12" s="238">
        <v>22.02</v>
      </c>
      <c r="H12" s="261"/>
      <c r="I12" s="243">
        <v>41.2</v>
      </c>
      <c r="J12" s="243">
        <v>41.2</v>
      </c>
      <c r="K12" s="243">
        <v>41.2</v>
      </c>
      <c r="L12" s="243">
        <v>41.2</v>
      </c>
      <c r="M12" s="243">
        <v>41.2</v>
      </c>
      <c r="N12" s="243">
        <v>41.2</v>
      </c>
      <c r="O12" s="243">
        <v>41.2</v>
      </c>
      <c r="P12" s="243">
        <v>41.2</v>
      </c>
      <c r="Q12" s="243">
        <v>41.2</v>
      </c>
      <c r="R12" s="243">
        <v>44.04</v>
      </c>
      <c r="S12" s="243">
        <v>44.04</v>
      </c>
      <c r="T12" s="243">
        <v>44.04</v>
      </c>
      <c r="U12" s="263">
        <f>SUM(I12:T12)</f>
        <v>502.92</v>
      </c>
      <c r="W12" s="264">
        <f>IFERROR(I12/$E12,0)</f>
        <v>2</v>
      </c>
      <c r="X12" s="264">
        <f>IFERROR(J12/$E12,0)</f>
        <v>2</v>
      </c>
      <c r="Y12" s="264">
        <f>IFERROR(K12/$E12,0)</f>
        <v>2</v>
      </c>
      <c r="Z12" s="264">
        <f t="shared" ref="Z12:AE12" si="4">IFERROR(L12/$F12,0)</f>
        <v>2</v>
      </c>
      <c r="AA12" s="264">
        <f t="shared" si="4"/>
        <v>2</v>
      </c>
      <c r="AB12" s="264">
        <f t="shared" si="4"/>
        <v>2</v>
      </c>
      <c r="AC12" s="264">
        <f t="shared" si="4"/>
        <v>2</v>
      </c>
      <c r="AD12" s="264">
        <f t="shared" si="4"/>
        <v>2</v>
      </c>
      <c r="AE12" s="264">
        <f t="shared" si="4"/>
        <v>2</v>
      </c>
      <c r="AF12" s="264">
        <f>IFERROR(R12/$G12,0)</f>
        <v>2</v>
      </c>
      <c r="AG12" s="264">
        <f>IFERROR(S12/$G12,0)</f>
        <v>2</v>
      </c>
      <c r="AH12" s="264">
        <f>IFERROR(T12/$G12,0)</f>
        <v>2</v>
      </c>
      <c r="AI12" s="265">
        <f>+IFERROR(AVERAGE(W12:AH12),0)</f>
        <v>2</v>
      </c>
      <c r="AJ12" s="266">
        <f>SUM(W12:AH12)</f>
        <v>24</v>
      </c>
      <c r="AK12" s="45"/>
      <c r="AL12" s="266"/>
      <c r="AN12" s="241">
        <v>1</v>
      </c>
      <c r="AO12" s="240">
        <f t="shared" si="0"/>
        <v>2</v>
      </c>
      <c r="AP12" s="241">
        <v>0</v>
      </c>
      <c r="AQ12" s="240">
        <f t="shared" si="1"/>
        <v>0</v>
      </c>
      <c r="AR12" s="241">
        <v>0</v>
      </c>
      <c r="AS12" s="240">
        <f t="shared" si="2"/>
        <v>0</v>
      </c>
      <c r="AT12" s="241">
        <v>0</v>
      </c>
      <c r="AU12" s="240">
        <f t="shared" si="3"/>
        <v>0</v>
      </c>
    </row>
    <row r="13" spans="2:47" s="253" customFormat="1" x14ac:dyDescent="0.2">
      <c r="B13" s="241" t="str">
        <f t="shared" ref="B13:B44" si="5">"Vanc"&amp;"residential"&amp;C13</f>
        <v>VancresidentialVRA20WCO</v>
      </c>
      <c r="C13" s="232" t="s">
        <v>727</v>
      </c>
      <c r="D13" s="232" t="s">
        <v>752</v>
      </c>
      <c r="E13" s="238">
        <v>25.76</v>
      </c>
      <c r="F13" s="238">
        <v>25.76</v>
      </c>
      <c r="G13" s="238">
        <v>27.53</v>
      </c>
      <c r="H13" s="261"/>
      <c r="I13" s="243">
        <v>103.04</v>
      </c>
      <c r="J13" s="243">
        <v>103.04</v>
      </c>
      <c r="K13" s="243">
        <v>103.04</v>
      </c>
      <c r="L13" s="243">
        <v>103.04</v>
      </c>
      <c r="M13" s="243">
        <v>103.04</v>
      </c>
      <c r="N13" s="243">
        <v>103.04</v>
      </c>
      <c r="O13" s="243">
        <v>96.600000000000009</v>
      </c>
      <c r="P13" s="243">
        <v>45.08</v>
      </c>
      <c r="Q13" s="243">
        <v>45.08</v>
      </c>
      <c r="R13" s="243">
        <v>55.06</v>
      </c>
      <c r="S13" s="243">
        <v>55.06</v>
      </c>
      <c r="T13" s="243">
        <v>55.06</v>
      </c>
      <c r="U13" s="263">
        <f t="shared" ref="U13:U68" si="6">SUM(I13:T13)</f>
        <v>970.18000000000006</v>
      </c>
      <c r="W13" s="264">
        <f t="shared" ref="W13:W45" si="7">IFERROR(I13/$E13,0)</f>
        <v>4</v>
      </c>
      <c r="X13" s="264">
        <f t="shared" ref="X13:X45" si="8">IFERROR(J13/$E13,0)</f>
        <v>4</v>
      </c>
      <c r="Y13" s="264">
        <f t="shared" ref="Y13:Y45" si="9">IFERROR(K13/$E13,0)</f>
        <v>4</v>
      </c>
      <c r="Z13" s="264">
        <f t="shared" ref="Z13:Z45" si="10">IFERROR(L13/$F13,0)</f>
        <v>4</v>
      </c>
      <c r="AA13" s="264">
        <f t="shared" ref="AA13:AA45" si="11">IFERROR(M13/$F13,0)</f>
        <v>4</v>
      </c>
      <c r="AB13" s="264">
        <f t="shared" ref="AB13:AB45" si="12">IFERROR(N13/$F13,0)</f>
        <v>4</v>
      </c>
      <c r="AC13" s="264">
        <f t="shared" ref="AC13:AC45" si="13">IFERROR(O13/$F13,0)</f>
        <v>3.75</v>
      </c>
      <c r="AD13" s="264">
        <f t="shared" ref="AD13:AD45" si="14">IFERROR(P13/$F13,0)</f>
        <v>1.7499999999999998</v>
      </c>
      <c r="AE13" s="264">
        <f t="shared" ref="AE13:AE45" si="15">IFERROR(Q13/$F13,0)</f>
        <v>1.7499999999999998</v>
      </c>
      <c r="AF13" s="264">
        <f t="shared" ref="AF13:AF45" si="16">IFERROR(R13/$G13,0)</f>
        <v>2</v>
      </c>
      <c r="AG13" s="264">
        <f t="shared" ref="AG13:AG45" si="17">IFERROR(S13/$G13,0)</f>
        <v>2</v>
      </c>
      <c r="AH13" s="264">
        <f t="shared" ref="AH13:AH45" si="18">IFERROR(T13/$G13,0)</f>
        <v>2</v>
      </c>
      <c r="AI13" s="265">
        <f t="shared" ref="AI13:AI44" si="19">+IFERROR(AVERAGE(W13:AH13),0)</f>
        <v>3.1041666666666665</v>
      </c>
      <c r="AJ13" s="266">
        <f t="shared" ref="AJ13:AJ69" si="20">SUM(W13:AH13)</f>
        <v>37.25</v>
      </c>
      <c r="AK13" s="45"/>
      <c r="AL13" s="266"/>
      <c r="AN13" s="241">
        <v>1</v>
      </c>
      <c r="AO13" s="240">
        <f t="shared" si="0"/>
        <v>3.1041666666666665</v>
      </c>
      <c r="AP13" s="241">
        <v>0</v>
      </c>
      <c r="AQ13" s="240">
        <f t="shared" si="1"/>
        <v>0</v>
      </c>
      <c r="AR13" s="241">
        <v>0</v>
      </c>
      <c r="AS13" s="240">
        <f t="shared" si="2"/>
        <v>0</v>
      </c>
      <c r="AT13" s="241">
        <v>0</v>
      </c>
      <c r="AU13" s="240">
        <f t="shared" si="3"/>
        <v>0</v>
      </c>
    </row>
    <row r="14" spans="2:47" s="253" customFormat="1" x14ac:dyDescent="0.2">
      <c r="B14" s="241" t="str">
        <f t="shared" si="5"/>
        <v>VancresidentialVRA20W</v>
      </c>
      <c r="C14" s="232" t="s">
        <v>728</v>
      </c>
      <c r="D14" s="232" t="s">
        <v>753</v>
      </c>
      <c r="E14" s="238">
        <v>17.170000000000002</v>
      </c>
      <c r="F14" s="238">
        <v>17.170000000000002</v>
      </c>
      <c r="G14" s="238">
        <v>18.350000000000001</v>
      </c>
      <c r="H14" s="261"/>
      <c r="I14" s="243">
        <v>30505.465</v>
      </c>
      <c r="J14" s="243">
        <v>30774.94</v>
      </c>
      <c r="K14" s="243">
        <v>30606.1</v>
      </c>
      <c r="L14" s="243">
        <v>30650.48</v>
      </c>
      <c r="M14" s="243">
        <v>30470.170000000002</v>
      </c>
      <c r="N14" s="243">
        <v>30702.07</v>
      </c>
      <c r="O14" s="243">
        <v>30478.81</v>
      </c>
      <c r="P14" s="243">
        <v>30242.864999999998</v>
      </c>
      <c r="Q14" s="243">
        <v>30066.834999999999</v>
      </c>
      <c r="R14" s="243">
        <v>32410.16</v>
      </c>
      <c r="S14" s="243">
        <v>32134.81</v>
      </c>
      <c r="T14" s="243">
        <v>32118.12</v>
      </c>
      <c r="U14" s="263">
        <f t="shared" si="6"/>
        <v>371160.82499999995</v>
      </c>
      <c r="W14" s="264">
        <f t="shared" si="7"/>
        <v>1776.6723937099591</v>
      </c>
      <c r="X14" s="264">
        <f t="shared" si="8"/>
        <v>1792.3669190448454</v>
      </c>
      <c r="Y14" s="264">
        <f t="shared" si="9"/>
        <v>1782.5334886429816</v>
      </c>
      <c r="Z14" s="264">
        <f t="shared" si="10"/>
        <v>1785.1182294700056</v>
      </c>
      <c r="AA14" s="264">
        <f t="shared" si="11"/>
        <v>1774.6167734420501</v>
      </c>
      <c r="AB14" s="264">
        <f t="shared" si="12"/>
        <v>1788.1228887594639</v>
      </c>
      <c r="AC14" s="264">
        <f t="shared" si="13"/>
        <v>1775.1199767035525</v>
      </c>
      <c r="AD14" s="264">
        <f t="shared" si="14"/>
        <v>1761.3782760629001</v>
      </c>
      <c r="AE14" s="264">
        <f t="shared" si="15"/>
        <v>1751.1260920209666</v>
      </c>
      <c r="AF14" s="264">
        <f t="shared" si="16"/>
        <v>1766.2212534059945</v>
      </c>
      <c r="AG14" s="264">
        <f t="shared" si="17"/>
        <v>1751.2158038147138</v>
      </c>
      <c r="AH14" s="264">
        <f t="shared" si="18"/>
        <v>1750.3062670299726</v>
      </c>
      <c r="AI14" s="265">
        <f t="shared" si="19"/>
        <v>1771.2331968422839</v>
      </c>
      <c r="AJ14" s="266">
        <f t="shared" si="20"/>
        <v>21254.798362107405</v>
      </c>
      <c r="AK14" s="45"/>
      <c r="AL14" s="266"/>
      <c r="AN14" s="241">
        <v>1</v>
      </c>
      <c r="AO14" s="240">
        <f t="shared" si="0"/>
        <v>1771.2331968422839</v>
      </c>
      <c r="AP14" s="241">
        <v>0</v>
      </c>
      <c r="AQ14" s="240">
        <f t="shared" si="1"/>
        <v>0</v>
      </c>
      <c r="AR14" s="241">
        <v>0</v>
      </c>
      <c r="AS14" s="240">
        <f t="shared" si="2"/>
        <v>0</v>
      </c>
      <c r="AT14" s="241">
        <v>0</v>
      </c>
      <c r="AU14" s="240">
        <f t="shared" si="3"/>
        <v>0</v>
      </c>
    </row>
    <row r="15" spans="2:47" s="253" customFormat="1" x14ac:dyDescent="0.2">
      <c r="B15" s="241" t="str">
        <f t="shared" si="5"/>
        <v>VancresidentialCRMC</v>
      </c>
      <c r="C15" s="232" t="s">
        <v>48</v>
      </c>
      <c r="D15" s="232" t="s">
        <v>80</v>
      </c>
      <c r="E15" s="238">
        <v>17.170000000000002</v>
      </c>
      <c r="F15" s="238">
        <v>17.170000000000002</v>
      </c>
      <c r="G15" s="238">
        <v>17.170000000000002</v>
      </c>
      <c r="H15" s="243"/>
      <c r="I15" s="243">
        <v>0</v>
      </c>
      <c r="J15" s="243">
        <v>0</v>
      </c>
      <c r="K15" s="243">
        <v>0</v>
      </c>
      <c r="L15" s="243">
        <v>0</v>
      </c>
      <c r="M15" s="243">
        <v>0</v>
      </c>
      <c r="N15" s="243">
        <v>0</v>
      </c>
      <c r="O15" s="243">
        <v>0</v>
      </c>
      <c r="P15" s="243">
        <v>0</v>
      </c>
      <c r="Q15" s="243">
        <v>0</v>
      </c>
      <c r="R15" s="243">
        <v>0</v>
      </c>
      <c r="S15" s="243">
        <v>0</v>
      </c>
      <c r="T15" s="243">
        <v>0</v>
      </c>
      <c r="U15" s="263">
        <f t="shared" si="6"/>
        <v>0</v>
      </c>
      <c r="V15" s="264">
        <f>IFERROR(H15/#REF!,0)</f>
        <v>0</v>
      </c>
      <c r="W15" s="264">
        <f t="shared" si="7"/>
        <v>0</v>
      </c>
      <c r="X15" s="264">
        <f t="shared" si="8"/>
        <v>0</v>
      </c>
      <c r="Y15" s="264">
        <f t="shared" si="9"/>
        <v>0</v>
      </c>
      <c r="Z15" s="264">
        <f t="shared" si="10"/>
        <v>0</v>
      </c>
      <c r="AA15" s="264">
        <f t="shared" si="11"/>
        <v>0</v>
      </c>
      <c r="AB15" s="264">
        <f t="shared" si="12"/>
        <v>0</v>
      </c>
      <c r="AC15" s="264">
        <f t="shared" si="13"/>
        <v>0</v>
      </c>
      <c r="AD15" s="264">
        <f t="shared" si="14"/>
        <v>0</v>
      </c>
      <c r="AE15" s="264">
        <f t="shared" si="15"/>
        <v>0</v>
      </c>
      <c r="AF15" s="264">
        <f t="shared" si="16"/>
        <v>0</v>
      </c>
      <c r="AG15" s="264">
        <f t="shared" si="17"/>
        <v>0</v>
      </c>
      <c r="AH15" s="264">
        <f t="shared" si="18"/>
        <v>0</v>
      </c>
      <c r="AI15" s="265">
        <f t="shared" si="19"/>
        <v>0</v>
      </c>
      <c r="AJ15" s="266">
        <f t="shared" si="20"/>
        <v>0</v>
      </c>
      <c r="AK15" s="45"/>
      <c r="AL15" s="266"/>
      <c r="AN15" s="241">
        <v>1</v>
      </c>
      <c r="AO15" s="240">
        <f t="shared" si="0"/>
        <v>0</v>
      </c>
      <c r="AP15" s="241">
        <v>0</v>
      </c>
      <c r="AQ15" s="240">
        <f t="shared" si="1"/>
        <v>0</v>
      </c>
      <c r="AR15" s="241">
        <v>0</v>
      </c>
      <c r="AS15" s="240">
        <f t="shared" si="2"/>
        <v>0</v>
      </c>
      <c r="AT15" s="241">
        <v>0</v>
      </c>
      <c r="AU15" s="240">
        <f t="shared" si="3"/>
        <v>0</v>
      </c>
    </row>
    <row r="16" spans="2:47" s="253" customFormat="1" x14ac:dyDescent="0.2">
      <c r="B16" s="241" t="str">
        <f>"Vanc"&amp;"residential"&amp;C16</f>
        <v>VancresidentialCR32W1</v>
      </c>
      <c r="C16" s="232" t="s">
        <v>51</v>
      </c>
      <c r="D16" s="232" t="s">
        <v>83</v>
      </c>
      <c r="E16" s="238">
        <v>22.89</v>
      </c>
      <c r="F16" s="238">
        <v>22.89</v>
      </c>
      <c r="G16" s="238">
        <v>22.89</v>
      </c>
      <c r="H16" s="261"/>
      <c r="I16" s="243">
        <v>34.200000000000003</v>
      </c>
      <c r="J16" s="243">
        <v>-12.47</v>
      </c>
      <c r="K16" s="243">
        <v>-19.47</v>
      </c>
      <c r="L16" s="243">
        <v>0</v>
      </c>
      <c r="M16" s="243">
        <v>0</v>
      </c>
      <c r="N16" s="243">
        <v>0</v>
      </c>
      <c r="O16" s="243">
        <v>0</v>
      </c>
      <c r="P16" s="243">
        <v>0</v>
      </c>
      <c r="Q16" s="243">
        <v>0</v>
      </c>
      <c r="R16" s="243">
        <v>0</v>
      </c>
      <c r="S16" s="243">
        <v>0</v>
      </c>
      <c r="T16" s="243">
        <v>0</v>
      </c>
      <c r="U16" s="263">
        <f t="shared" si="6"/>
        <v>2.2600000000000051</v>
      </c>
      <c r="W16" s="264">
        <f t="shared" si="7"/>
        <v>1.4941022280471823</v>
      </c>
      <c r="X16" s="264">
        <f t="shared" si="8"/>
        <v>-0.54477937964176493</v>
      </c>
      <c r="Y16" s="264">
        <f t="shared" si="9"/>
        <v>-0.85058977719528173</v>
      </c>
      <c r="Z16" s="264">
        <f t="shared" si="10"/>
        <v>0</v>
      </c>
      <c r="AA16" s="264">
        <f t="shared" si="11"/>
        <v>0</v>
      </c>
      <c r="AB16" s="264">
        <f t="shared" si="12"/>
        <v>0</v>
      </c>
      <c r="AC16" s="264">
        <f t="shared" si="13"/>
        <v>0</v>
      </c>
      <c r="AD16" s="264">
        <f t="shared" si="14"/>
        <v>0</v>
      </c>
      <c r="AE16" s="264">
        <f t="shared" si="15"/>
        <v>0</v>
      </c>
      <c r="AF16" s="264">
        <f t="shared" si="16"/>
        <v>0</v>
      </c>
      <c r="AG16" s="264">
        <f t="shared" si="17"/>
        <v>0</v>
      </c>
      <c r="AH16" s="264">
        <f t="shared" si="18"/>
        <v>0</v>
      </c>
      <c r="AI16" s="265">
        <f t="shared" si="19"/>
        <v>8.2277559341779691E-3</v>
      </c>
      <c r="AJ16" s="266">
        <f t="shared" si="20"/>
        <v>9.8733071210135637E-2</v>
      </c>
      <c r="AK16" s="45"/>
      <c r="AL16" s="266"/>
      <c r="AN16" s="241">
        <v>1</v>
      </c>
      <c r="AO16" s="240">
        <f t="shared" si="0"/>
        <v>8.2277559341779691E-3</v>
      </c>
      <c r="AP16" s="241">
        <v>0</v>
      </c>
      <c r="AQ16" s="240">
        <f t="shared" si="1"/>
        <v>0</v>
      </c>
      <c r="AR16" s="241">
        <v>0</v>
      </c>
      <c r="AS16" s="240">
        <f t="shared" si="2"/>
        <v>0</v>
      </c>
      <c r="AT16" s="241">
        <v>0</v>
      </c>
      <c r="AU16" s="240">
        <f t="shared" si="3"/>
        <v>0</v>
      </c>
    </row>
    <row r="17" spans="2:47" s="253" customFormat="1" x14ac:dyDescent="0.2">
      <c r="B17" s="241" t="str">
        <f>"Vanc"&amp;"residential"&amp;C17</f>
        <v>VancresidentialCR32W2</v>
      </c>
      <c r="C17" s="232" t="s">
        <v>52</v>
      </c>
      <c r="D17" s="232" t="s">
        <v>84</v>
      </c>
      <c r="E17" s="238">
        <v>45.78</v>
      </c>
      <c r="F17" s="238">
        <v>45.78</v>
      </c>
      <c r="G17" s="238">
        <v>45.78</v>
      </c>
      <c r="H17" s="261"/>
      <c r="I17" s="243">
        <v>0</v>
      </c>
      <c r="J17" s="243">
        <v>-23.15</v>
      </c>
      <c r="K17" s="243">
        <v>0</v>
      </c>
      <c r="L17" s="243">
        <v>0</v>
      </c>
      <c r="M17" s="243">
        <v>0</v>
      </c>
      <c r="N17" s="243">
        <v>0</v>
      </c>
      <c r="O17" s="243">
        <v>0</v>
      </c>
      <c r="P17" s="243">
        <v>0</v>
      </c>
      <c r="Q17" s="243">
        <v>0</v>
      </c>
      <c r="R17" s="243">
        <v>0</v>
      </c>
      <c r="S17" s="243">
        <v>0</v>
      </c>
      <c r="T17" s="243">
        <v>0</v>
      </c>
      <c r="U17" s="263">
        <f t="shared" si="6"/>
        <v>-23.15</v>
      </c>
      <c r="W17" s="264">
        <f t="shared" si="7"/>
        <v>0</v>
      </c>
      <c r="X17" s="264">
        <f t="shared" si="8"/>
        <v>-0.50567933595456527</v>
      </c>
      <c r="Y17" s="264">
        <f t="shared" si="9"/>
        <v>0</v>
      </c>
      <c r="Z17" s="264">
        <f t="shared" si="10"/>
        <v>0</v>
      </c>
      <c r="AA17" s="264">
        <f t="shared" si="11"/>
        <v>0</v>
      </c>
      <c r="AB17" s="264">
        <f t="shared" si="12"/>
        <v>0</v>
      </c>
      <c r="AC17" s="264">
        <f t="shared" si="13"/>
        <v>0</v>
      </c>
      <c r="AD17" s="264">
        <f t="shared" si="14"/>
        <v>0</v>
      </c>
      <c r="AE17" s="264">
        <f t="shared" si="15"/>
        <v>0</v>
      </c>
      <c r="AF17" s="264">
        <f t="shared" si="16"/>
        <v>0</v>
      </c>
      <c r="AG17" s="264">
        <f t="shared" si="17"/>
        <v>0</v>
      </c>
      <c r="AH17" s="264">
        <f t="shared" si="18"/>
        <v>0</v>
      </c>
      <c r="AI17" s="265">
        <f t="shared" si="19"/>
        <v>-4.2139944662880437E-2</v>
      </c>
      <c r="AJ17" s="266">
        <f t="shared" si="20"/>
        <v>-0.50567933595456527</v>
      </c>
      <c r="AK17" s="45"/>
      <c r="AL17" s="266"/>
      <c r="AN17" s="241">
        <v>1</v>
      </c>
      <c r="AO17" s="240">
        <f t="shared" si="0"/>
        <v>-4.2139944662880437E-2</v>
      </c>
      <c r="AP17" s="241">
        <v>0</v>
      </c>
      <c r="AQ17" s="240">
        <f t="shared" si="1"/>
        <v>0</v>
      </c>
      <c r="AR17" s="241">
        <v>0</v>
      </c>
      <c r="AS17" s="240">
        <f t="shared" si="2"/>
        <v>0</v>
      </c>
      <c r="AT17" s="241">
        <v>0</v>
      </c>
      <c r="AU17" s="240">
        <f t="shared" si="3"/>
        <v>0</v>
      </c>
    </row>
    <row r="18" spans="2:47" s="253" customFormat="1" x14ac:dyDescent="0.2">
      <c r="B18" s="241" t="str">
        <f>"Vanc"&amp;"residential"&amp;C18</f>
        <v>VancresidentialCR32W3</v>
      </c>
      <c r="C18" s="232" t="s">
        <v>53</v>
      </c>
      <c r="D18" s="232" t="s">
        <v>85</v>
      </c>
      <c r="E18" s="238">
        <v>68.67</v>
      </c>
      <c r="F18" s="238">
        <v>68.67</v>
      </c>
      <c r="G18" s="238">
        <v>68.67</v>
      </c>
      <c r="H18" s="261"/>
      <c r="I18" s="243">
        <v>0</v>
      </c>
      <c r="J18" s="243">
        <v>0</v>
      </c>
      <c r="K18" s="243">
        <v>0</v>
      </c>
      <c r="L18" s="243">
        <v>0</v>
      </c>
      <c r="M18" s="243">
        <v>0</v>
      </c>
      <c r="N18" s="243">
        <v>0</v>
      </c>
      <c r="O18" s="243">
        <v>0</v>
      </c>
      <c r="P18" s="243">
        <v>0</v>
      </c>
      <c r="Q18" s="243">
        <v>0</v>
      </c>
      <c r="R18" s="243">
        <v>0</v>
      </c>
      <c r="S18" s="243">
        <v>0</v>
      </c>
      <c r="T18" s="243">
        <v>0</v>
      </c>
      <c r="U18" s="263">
        <f t="shared" si="6"/>
        <v>0</v>
      </c>
      <c r="W18" s="264">
        <f t="shared" si="7"/>
        <v>0</v>
      </c>
      <c r="X18" s="264">
        <f t="shared" si="8"/>
        <v>0</v>
      </c>
      <c r="Y18" s="264">
        <f t="shared" si="9"/>
        <v>0</v>
      </c>
      <c r="Z18" s="264">
        <f t="shared" si="10"/>
        <v>0</v>
      </c>
      <c r="AA18" s="264">
        <f t="shared" si="11"/>
        <v>0</v>
      </c>
      <c r="AB18" s="264">
        <f t="shared" si="12"/>
        <v>0</v>
      </c>
      <c r="AC18" s="264">
        <f t="shared" si="13"/>
        <v>0</v>
      </c>
      <c r="AD18" s="264">
        <f t="shared" si="14"/>
        <v>0</v>
      </c>
      <c r="AE18" s="264">
        <f t="shared" si="15"/>
        <v>0</v>
      </c>
      <c r="AF18" s="264">
        <f t="shared" si="16"/>
        <v>0</v>
      </c>
      <c r="AG18" s="264">
        <f t="shared" si="17"/>
        <v>0</v>
      </c>
      <c r="AH18" s="264">
        <f t="shared" si="18"/>
        <v>0</v>
      </c>
      <c r="AI18" s="265">
        <f t="shared" si="19"/>
        <v>0</v>
      </c>
      <c r="AJ18" s="266">
        <f t="shared" si="20"/>
        <v>0</v>
      </c>
      <c r="AK18" s="45"/>
      <c r="AL18" s="266"/>
      <c r="AN18" s="241">
        <v>1</v>
      </c>
      <c r="AO18" s="240">
        <f t="shared" si="0"/>
        <v>0</v>
      </c>
      <c r="AP18" s="241">
        <v>0</v>
      </c>
      <c r="AQ18" s="240">
        <f t="shared" si="1"/>
        <v>0</v>
      </c>
      <c r="AR18" s="241">
        <v>0</v>
      </c>
      <c r="AS18" s="240">
        <f t="shared" si="2"/>
        <v>0</v>
      </c>
      <c r="AT18" s="241">
        <v>0</v>
      </c>
      <c r="AU18" s="240">
        <f t="shared" si="3"/>
        <v>0</v>
      </c>
    </row>
    <row r="19" spans="2:47" s="253" customFormat="1" x14ac:dyDescent="0.2">
      <c r="B19" s="241" t="str">
        <f t="shared" si="5"/>
        <v>VancresidentialCR32MO</v>
      </c>
      <c r="C19" s="232" t="s">
        <v>50</v>
      </c>
      <c r="D19" s="232" t="s">
        <v>82</v>
      </c>
      <c r="E19" s="238">
        <v>10.3</v>
      </c>
      <c r="F19" s="238">
        <v>10.3</v>
      </c>
      <c r="G19" s="238">
        <v>11.01</v>
      </c>
      <c r="H19" s="261"/>
      <c r="I19" s="243">
        <v>0</v>
      </c>
      <c r="J19" s="243">
        <v>0</v>
      </c>
      <c r="K19" s="243">
        <v>0</v>
      </c>
      <c r="L19" s="243">
        <v>0</v>
      </c>
      <c r="M19" s="243">
        <v>0</v>
      </c>
      <c r="N19" s="243">
        <v>0</v>
      </c>
      <c r="O19" s="243">
        <v>0</v>
      </c>
      <c r="P19" s="243">
        <v>0</v>
      </c>
      <c r="Q19" s="243">
        <v>0</v>
      </c>
      <c r="R19" s="243">
        <v>0</v>
      </c>
      <c r="S19" s="243">
        <v>0</v>
      </c>
      <c r="T19" s="243">
        <v>0</v>
      </c>
      <c r="U19" s="263">
        <f t="shared" si="6"/>
        <v>0</v>
      </c>
      <c r="W19" s="264">
        <f t="shared" si="7"/>
        <v>0</v>
      </c>
      <c r="X19" s="264">
        <f t="shared" si="8"/>
        <v>0</v>
      </c>
      <c r="Y19" s="264">
        <f t="shared" si="9"/>
        <v>0</v>
      </c>
      <c r="Z19" s="264">
        <f t="shared" si="10"/>
        <v>0</v>
      </c>
      <c r="AA19" s="264">
        <f t="shared" si="11"/>
        <v>0</v>
      </c>
      <c r="AB19" s="264">
        <f t="shared" si="12"/>
        <v>0</v>
      </c>
      <c r="AC19" s="264">
        <f t="shared" si="13"/>
        <v>0</v>
      </c>
      <c r="AD19" s="264">
        <f t="shared" si="14"/>
        <v>0</v>
      </c>
      <c r="AE19" s="264">
        <f t="shared" si="15"/>
        <v>0</v>
      </c>
      <c r="AF19" s="264">
        <f t="shared" si="16"/>
        <v>0</v>
      </c>
      <c r="AG19" s="264">
        <f t="shared" si="17"/>
        <v>0</v>
      </c>
      <c r="AH19" s="264">
        <f t="shared" si="18"/>
        <v>0</v>
      </c>
      <c r="AI19" s="265">
        <f t="shared" si="19"/>
        <v>0</v>
      </c>
      <c r="AJ19" s="266">
        <f t="shared" si="20"/>
        <v>0</v>
      </c>
      <c r="AK19" s="45"/>
      <c r="AL19" s="266"/>
      <c r="AN19" s="241">
        <v>1</v>
      </c>
      <c r="AO19" s="240">
        <f t="shared" si="0"/>
        <v>0</v>
      </c>
      <c r="AP19" s="241">
        <v>0</v>
      </c>
      <c r="AQ19" s="240">
        <f t="shared" si="1"/>
        <v>0</v>
      </c>
      <c r="AR19" s="241">
        <v>0</v>
      </c>
      <c r="AS19" s="240">
        <f t="shared" si="2"/>
        <v>0</v>
      </c>
      <c r="AT19" s="241">
        <v>0</v>
      </c>
      <c r="AU19" s="240">
        <f t="shared" si="3"/>
        <v>0</v>
      </c>
    </row>
    <row r="20" spans="2:47" s="253" customFormat="1" x14ac:dyDescent="0.2">
      <c r="B20" s="241" t="str">
        <f t="shared" si="5"/>
        <v>VancresidentialVRA20EOWHEL</v>
      </c>
      <c r="C20" s="232" t="s">
        <v>729</v>
      </c>
      <c r="D20" s="232" t="s">
        <v>754</v>
      </c>
      <c r="E20" s="238">
        <v>13.73</v>
      </c>
      <c r="F20" s="238">
        <v>13.73</v>
      </c>
      <c r="G20" s="238">
        <v>14.68</v>
      </c>
      <c r="H20" s="261"/>
      <c r="I20" s="243">
        <v>13.73</v>
      </c>
      <c r="J20" s="243">
        <v>13.73</v>
      </c>
      <c r="K20" s="243">
        <v>13.73</v>
      </c>
      <c r="L20" s="243">
        <v>27.46</v>
      </c>
      <c r="M20" s="243">
        <v>27.46</v>
      </c>
      <c r="N20" s="243">
        <v>41.19</v>
      </c>
      <c r="O20" s="243">
        <v>41.19</v>
      </c>
      <c r="P20" s="243">
        <v>41.19</v>
      </c>
      <c r="Q20" s="243">
        <v>41.19</v>
      </c>
      <c r="R20" s="243">
        <v>44.04</v>
      </c>
      <c r="S20" s="243">
        <v>44.04</v>
      </c>
      <c r="T20" s="243">
        <v>44.04</v>
      </c>
      <c r="U20" s="263">
        <f t="shared" si="6"/>
        <v>392.99000000000007</v>
      </c>
      <c r="W20" s="264">
        <f t="shared" si="7"/>
        <v>1</v>
      </c>
      <c r="X20" s="264">
        <f t="shared" si="8"/>
        <v>1</v>
      </c>
      <c r="Y20" s="264">
        <f t="shared" si="9"/>
        <v>1</v>
      </c>
      <c r="Z20" s="264">
        <f t="shared" si="10"/>
        <v>2</v>
      </c>
      <c r="AA20" s="264">
        <f t="shared" si="11"/>
        <v>2</v>
      </c>
      <c r="AB20" s="264">
        <f t="shared" si="12"/>
        <v>2.9999999999999996</v>
      </c>
      <c r="AC20" s="264">
        <f t="shared" si="13"/>
        <v>2.9999999999999996</v>
      </c>
      <c r="AD20" s="264">
        <f t="shared" si="14"/>
        <v>2.9999999999999996</v>
      </c>
      <c r="AE20" s="264">
        <f t="shared" si="15"/>
        <v>2.9999999999999996</v>
      </c>
      <c r="AF20" s="264">
        <f t="shared" si="16"/>
        <v>3</v>
      </c>
      <c r="AG20" s="264">
        <f t="shared" si="17"/>
        <v>3</v>
      </c>
      <c r="AH20" s="264">
        <f t="shared" si="18"/>
        <v>3</v>
      </c>
      <c r="AI20" s="265">
        <f t="shared" si="19"/>
        <v>2.3333333333333335</v>
      </c>
      <c r="AJ20" s="266">
        <f t="shared" si="20"/>
        <v>28</v>
      </c>
      <c r="AK20" s="45"/>
      <c r="AL20" s="266"/>
      <c r="AN20" s="241">
        <v>1</v>
      </c>
      <c r="AO20" s="240">
        <f t="shared" si="0"/>
        <v>2.3333333333333335</v>
      </c>
      <c r="AP20" s="241">
        <v>0</v>
      </c>
      <c r="AQ20" s="240">
        <f t="shared" si="1"/>
        <v>0</v>
      </c>
      <c r="AR20" s="241">
        <v>0</v>
      </c>
      <c r="AS20" s="240">
        <f t="shared" si="2"/>
        <v>0</v>
      </c>
      <c r="AT20" s="241">
        <v>0</v>
      </c>
      <c r="AU20" s="240">
        <f t="shared" si="3"/>
        <v>0</v>
      </c>
    </row>
    <row r="21" spans="2:47" s="253" customFormat="1" x14ac:dyDescent="0.2">
      <c r="B21" s="241" t="str">
        <f t="shared" si="5"/>
        <v>VancresidentialVRA20WHEL</v>
      </c>
      <c r="C21" s="232" t="s">
        <v>730</v>
      </c>
      <c r="D21" s="232" t="s">
        <v>755</v>
      </c>
      <c r="E21" s="238">
        <v>17.170000000000002</v>
      </c>
      <c r="F21" s="238">
        <v>17.170000000000002</v>
      </c>
      <c r="G21" s="238">
        <v>18.350000000000001</v>
      </c>
      <c r="H21" s="261"/>
      <c r="I21" s="243">
        <v>17.170000000000002</v>
      </c>
      <c r="J21" s="243">
        <v>17.170000000000002</v>
      </c>
      <c r="K21" s="243">
        <v>17.170000000000002</v>
      </c>
      <c r="L21" s="243">
        <v>17.170000000000002</v>
      </c>
      <c r="M21" s="243">
        <v>17.170000000000002</v>
      </c>
      <c r="N21" s="243">
        <v>17.170000000000002</v>
      </c>
      <c r="O21" s="243">
        <v>17.170000000000002</v>
      </c>
      <c r="P21" s="243">
        <v>17.170000000000002</v>
      </c>
      <c r="Q21" s="243">
        <v>17.170000000000002</v>
      </c>
      <c r="R21" s="243">
        <v>18.350000000000001</v>
      </c>
      <c r="S21" s="243">
        <v>18.350000000000001</v>
      </c>
      <c r="T21" s="243">
        <v>18.350000000000001</v>
      </c>
      <c r="U21" s="263">
        <f t="shared" si="6"/>
        <v>209.58</v>
      </c>
      <c r="W21" s="264">
        <f t="shared" si="7"/>
        <v>1</v>
      </c>
      <c r="X21" s="264">
        <f t="shared" si="8"/>
        <v>1</v>
      </c>
      <c r="Y21" s="264">
        <f t="shared" si="9"/>
        <v>1</v>
      </c>
      <c r="Z21" s="264">
        <f t="shared" si="10"/>
        <v>1</v>
      </c>
      <c r="AA21" s="264">
        <f t="shared" si="11"/>
        <v>1</v>
      </c>
      <c r="AB21" s="264">
        <f t="shared" si="12"/>
        <v>1</v>
      </c>
      <c r="AC21" s="264">
        <f t="shared" si="13"/>
        <v>1</v>
      </c>
      <c r="AD21" s="264">
        <f t="shared" si="14"/>
        <v>1</v>
      </c>
      <c r="AE21" s="264">
        <f t="shared" si="15"/>
        <v>1</v>
      </c>
      <c r="AF21" s="264">
        <f t="shared" si="16"/>
        <v>1</v>
      </c>
      <c r="AG21" s="264">
        <f t="shared" si="17"/>
        <v>1</v>
      </c>
      <c r="AH21" s="264">
        <f t="shared" si="18"/>
        <v>1</v>
      </c>
      <c r="AI21" s="265">
        <f t="shared" si="19"/>
        <v>1</v>
      </c>
      <c r="AJ21" s="266">
        <f t="shared" si="20"/>
        <v>12</v>
      </c>
      <c r="AK21" s="45"/>
      <c r="AL21" s="266"/>
      <c r="AN21" s="241">
        <v>1</v>
      </c>
      <c r="AO21" s="240">
        <f t="shared" si="0"/>
        <v>1</v>
      </c>
      <c r="AP21" s="241">
        <v>0</v>
      </c>
      <c r="AQ21" s="240">
        <f t="shared" si="1"/>
        <v>0</v>
      </c>
      <c r="AR21" s="241">
        <v>0</v>
      </c>
      <c r="AS21" s="240">
        <f t="shared" si="2"/>
        <v>0</v>
      </c>
      <c r="AT21" s="241">
        <v>0</v>
      </c>
      <c r="AU21" s="240">
        <f t="shared" si="3"/>
        <v>0</v>
      </c>
    </row>
    <row r="22" spans="2:47" s="253" customFormat="1" x14ac:dyDescent="0.2">
      <c r="B22" s="241" t="str">
        <f t="shared" si="5"/>
        <v>VancresidentialVRA20EOW</v>
      </c>
      <c r="C22" s="232" t="s">
        <v>731</v>
      </c>
      <c r="D22" s="232" t="s">
        <v>756</v>
      </c>
      <c r="E22" s="238">
        <v>13.73</v>
      </c>
      <c r="F22" s="238">
        <v>13.73</v>
      </c>
      <c r="G22" s="238">
        <v>14.68</v>
      </c>
      <c r="H22" s="261"/>
      <c r="I22" s="243">
        <v>7315.91</v>
      </c>
      <c r="J22" s="243">
        <v>7427.8950000000004</v>
      </c>
      <c r="K22" s="243">
        <v>7414.165</v>
      </c>
      <c r="L22" s="243">
        <v>7338.6449999999995</v>
      </c>
      <c r="M22" s="243">
        <v>7276.8149999999996</v>
      </c>
      <c r="N22" s="243">
        <v>7328.39</v>
      </c>
      <c r="O22" s="243">
        <v>7294.06</v>
      </c>
      <c r="P22" s="243">
        <v>7366.1849999999995</v>
      </c>
      <c r="Q22" s="243">
        <v>7359.3050000000003</v>
      </c>
      <c r="R22" s="243">
        <v>7831.8950000000004</v>
      </c>
      <c r="S22" s="243">
        <v>7765.835</v>
      </c>
      <c r="T22" s="243">
        <v>8000.125</v>
      </c>
      <c r="U22" s="263">
        <f t="shared" si="6"/>
        <v>89719.225000000006</v>
      </c>
      <c r="W22" s="264">
        <f t="shared" si="7"/>
        <v>532.84122359796061</v>
      </c>
      <c r="X22" s="264">
        <f t="shared" si="8"/>
        <v>540.99745083758194</v>
      </c>
      <c r="Y22" s="264">
        <f t="shared" si="9"/>
        <v>539.99745083758194</v>
      </c>
      <c r="Z22" s="264">
        <f t="shared" si="10"/>
        <v>534.4970866715222</v>
      </c>
      <c r="AA22" s="264">
        <f t="shared" si="11"/>
        <v>529.99380917698466</v>
      </c>
      <c r="AB22" s="264">
        <f t="shared" si="12"/>
        <v>533.75018208302981</v>
      </c>
      <c r="AC22" s="264">
        <f t="shared" si="13"/>
        <v>531.24981791697019</v>
      </c>
      <c r="AD22" s="264">
        <f t="shared" si="14"/>
        <v>536.50291332847769</v>
      </c>
      <c r="AE22" s="264">
        <f t="shared" si="15"/>
        <v>536.00182083029858</v>
      </c>
      <c r="AF22" s="264">
        <f t="shared" si="16"/>
        <v>533.50783378746598</v>
      </c>
      <c r="AG22" s="264">
        <f t="shared" si="17"/>
        <v>529.00783378746598</v>
      </c>
      <c r="AH22" s="264">
        <f t="shared" si="18"/>
        <v>544.96764305177112</v>
      </c>
      <c r="AI22" s="265">
        <f t="shared" si="19"/>
        <v>535.27625549225911</v>
      </c>
      <c r="AJ22" s="266">
        <f t="shared" si="20"/>
        <v>6423.3150659071098</v>
      </c>
      <c r="AK22" s="45"/>
      <c r="AL22" s="266"/>
      <c r="AN22" s="241">
        <v>1</v>
      </c>
      <c r="AO22" s="240">
        <f t="shared" si="0"/>
        <v>535.27625549225911</v>
      </c>
      <c r="AP22" s="241">
        <v>0</v>
      </c>
      <c r="AQ22" s="240">
        <f t="shared" si="1"/>
        <v>0</v>
      </c>
      <c r="AR22" s="241">
        <v>0</v>
      </c>
      <c r="AS22" s="240">
        <f t="shared" si="2"/>
        <v>0</v>
      </c>
      <c r="AT22" s="241">
        <v>0</v>
      </c>
      <c r="AU22" s="240">
        <f t="shared" si="3"/>
        <v>0</v>
      </c>
    </row>
    <row r="23" spans="2:47" s="253" customFormat="1" x14ac:dyDescent="0.2">
      <c r="B23" s="241" t="str">
        <f>"Vanc"&amp;"residential"&amp;C23</f>
        <v>VancresidentialCREOW</v>
      </c>
      <c r="C23" s="232" t="s">
        <v>49</v>
      </c>
      <c r="D23" s="232" t="s">
        <v>81</v>
      </c>
      <c r="E23" s="238">
        <v>17.170000000000002</v>
      </c>
      <c r="F23" s="238">
        <v>17.170000000000002</v>
      </c>
      <c r="G23" s="238">
        <v>17.170000000000002</v>
      </c>
      <c r="H23" s="261"/>
      <c r="I23" s="243">
        <v>0</v>
      </c>
      <c r="J23" s="243">
        <v>0</v>
      </c>
      <c r="K23" s="243">
        <v>0</v>
      </c>
      <c r="L23" s="243">
        <v>0</v>
      </c>
      <c r="M23" s="243">
        <v>0</v>
      </c>
      <c r="N23" s="243">
        <v>4.6100000000000003</v>
      </c>
      <c r="O23" s="243">
        <v>4.6100000000000003</v>
      </c>
      <c r="P23" s="243">
        <v>4.6100000000000003</v>
      </c>
      <c r="Q23" s="243">
        <v>4.6100000000000003</v>
      </c>
      <c r="R23" s="243">
        <v>0</v>
      </c>
      <c r="S23" s="243">
        <v>0</v>
      </c>
      <c r="T23" s="243">
        <v>0</v>
      </c>
      <c r="U23" s="263">
        <f t="shared" si="6"/>
        <v>18.440000000000001</v>
      </c>
      <c r="W23" s="264">
        <f t="shared" si="7"/>
        <v>0</v>
      </c>
      <c r="X23" s="264">
        <f t="shared" si="8"/>
        <v>0</v>
      </c>
      <c r="Y23" s="264">
        <f t="shared" si="9"/>
        <v>0</v>
      </c>
      <c r="Z23" s="264">
        <f t="shared" si="10"/>
        <v>0</v>
      </c>
      <c r="AA23" s="264">
        <f t="shared" si="11"/>
        <v>0</v>
      </c>
      <c r="AB23" s="264">
        <f t="shared" si="12"/>
        <v>0.26849155503785671</v>
      </c>
      <c r="AC23" s="264">
        <f t="shared" si="13"/>
        <v>0.26849155503785671</v>
      </c>
      <c r="AD23" s="264">
        <f t="shared" si="14"/>
        <v>0.26849155503785671</v>
      </c>
      <c r="AE23" s="264">
        <f t="shared" si="15"/>
        <v>0.26849155503785671</v>
      </c>
      <c r="AF23" s="264">
        <f t="shared" si="16"/>
        <v>0</v>
      </c>
      <c r="AG23" s="264">
        <f t="shared" si="17"/>
        <v>0</v>
      </c>
      <c r="AH23" s="264">
        <f t="shared" si="18"/>
        <v>0</v>
      </c>
      <c r="AI23" s="265">
        <f t="shared" si="19"/>
        <v>8.9497185012618899E-2</v>
      </c>
      <c r="AJ23" s="266">
        <f t="shared" si="20"/>
        <v>1.0739662201514268</v>
      </c>
      <c r="AK23" s="45"/>
      <c r="AL23" s="266"/>
      <c r="AN23" s="241">
        <v>1</v>
      </c>
      <c r="AO23" s="240">
        <f t="shared" si="0"/>
        <v>8.9497185012618899E-2</v>
      </c>
      <c r="AP23" s="241">
        <v>0</v>
      </c>
      <c r="AQ23" s="240">
        <f t="shared" si="1"/>
        <v>0</v>
      </c>
      <c r="AR23" s="241">
        <v>0</v>
      </c>
      <c r="AS23" s="240">
        <f t="shared" si="2"/>
        <v>0</v>
      </c>
      <c r="AT23" s="241">
        <v>0</v>
      </c>
      <c r="AU23" s="240">
        <f t="shared" si="3"/>
        <v>0</v>
      </c>
    </row>
    <row r="24" spans="2:47" s="253" customFormat="1" x14ac:dyDescent="0.2">
      <c r="B24" s="241" t="str">
        <f>"Vanc"&amp;"multifamily"&amp;C24</f>
        <v>VancmultifamilyVMF32CAN</v>
      </c>
      <c r="C24" s="232" t="s">
        <v>843</v>
      </c>
      <c r="D24" s="232" t="s">
        <v>872</v>
      </c>
      <c r="E24" s="238">
        <v>22.89</v>
      </c>
      <c r="F24" s="238">
        <v>22.89</v>
      </c>
      <c r="G24" s="238">
        <v>24.46</v>
      </c>
      <c r="H24" s="261"/>
      <c r="I24" s="243">
        <v>22615.32</v>
      </c>
      <c r="J24" s="243">
        <v>22638.16</v>
      </c>
      <c r="K24" s="243">
        <v>22649.26</v>
      </c>
      <c r="L24" s="243">
        <v>21768.39</v>
      </c>
      <c r="M24" s="243">
        <v>22437.69</v>
      </c>
      <c r="N24" s="243">
        <v>22500.87</v>
      </c>
      <c r="O24" s="243">
        <v>22500.87</v>
      </c>
      <c r="P24" s="243">
        <v>22495.15</v>
      </c>
      <c r="Q24" s="243">
        <v>22477.98</v>
      </c>
      <c r="R24" s="243">
        <v>24007.49</v>
      </c>
      <c r="S24" s="243">
        <v>23977.3</v>
      </c>
      <c r="T24" s="243">
        <v>23738.429999999997</v>
      </c>
      <c r="U24" s="263">
        <f t="shared" si="6"/>
        <v>273806.90999999997</v>
      </c>
      <c r="W24" s="264">
        <f t="shared" si="7"/>
        <v>988</v>
      </c>
      <c r="X24" s="264">
        <f t="shared" si="8"/>
        <v>988.99781564001739</v>
      </c>
      <c r="Y24" s="264">
        <f t="shared" si="9"/>
        <v>989.48274355613796</v>
      </c>
      <c r="Z24" s="264">
        <f t="shared" si="10"/>
        <v>951</v>
      </c>
      <c r="AA24" s="264">
        <f t="shared" si="11"/>
        <v>980.23984272608118</v>
      </c>
      <c r="AB24" s="264">
        <f t="shared" si="12"/>
        <v>982.99999999999989</v>
      </c>
      <c r="AC24" s="264">
        <f t="shared" si="13"/>
        <v>982.99999999999989</v>
      </c>
      <c r="AD24" s="264">
        <f t="shared" si="14"/>
        <v>982.75010921799912</v>
      </c>
      <c r="AE24" s="264">
        <f t="shared" si="15"/>
        <v>982</v>
      </c>
      <c r="AF24" s="264">
        <f t="shared" si="16"/>
        <v>981.5</v>
      </c>
      <c r="AG24" s="264">
        <f t="shared" si="17"/>
        <v>980.26573998364665</v>
      </c>
      <c r="AH24" s="264">
        <f t="shared" si="18"/>
        <v>970.49999999999977</v>
      </c>
      <c r="AI24" s="265">
        <f t="shared" si="19"/>
        <v>980.06135426032358</v>
      </c>
      <c r="AJ24" s="266">
        <f t="shared" si="20"/>
        <v>11760.736251123883</v>
      </c>
      <c r="AK24" s="45"/>
      <c r="AL24" s="266"/>
      <c r="AN24" s="241">
        <v>1</v>
      </c>
      <c r="AO24" s="240">
        <f t="shared" si="0"/>
        <v>980.06135426032358</v>
      </c>
      <c r="AP24" s="241">
        <v>0</v>
      </c>
      <c r="AQ24" s="240">
        <f t="shared" si="1"/>
        <v>0</v>
      </c>
      <c r="AR24" s="241">
        <v>0</v>
      </c>
      <c r="AS24" s="240">
        <f t="shared" si="2"/>
        <v>0</v>
      </c>
      <c r="AT24" s="241">
        <v>0</v>
      </c>
      <c r="AU24" s="240">
        <f t="shared" si="3"/>
        <v>0</v>
      </c>
    </row>
    <row r="25" spans="2:47" s="253" customFormat="1" x14ac:dyDescent="0.2">
      <c r="B25" s="241" t="str">
        <f>"Vanc"&amp;"multifamily"&amp;C25</f>
        <v>VancmultifamilyVMF64W</v>
      </c>
      <c r="C25" s="232" t="s">
        <v>1242</v>
      </c>
      <c r="D25" s="232" t="s">
        <v>1243</v>
      </c>
      <c r="E25" s="238">
        <v>45.78</v>
      </c>
      <c r="F25" s="238">
        <v>45.78</v>
      </c>
      <c r="G25" s="238">
        <v>48.92</v>
      </c>
      <c r="H25" s="261"/>
      <c r="I25" s="243">
        <v>4669.5600000000004</v>
      </c>
      <c r="J25" s="243">
        <v>4669.5600000000004</v>
      </c>
      <c r="K25" s="243">
        <v>4692.45</v>
      </c>
      <c r="L25" s="243">
        <v>4715.34</v>
      </c>
      <c r="M25" s="243">
        <v>4761.04</v>
      </c>
      <c r="N25" s="243">
        <v>4806.8999999999996</v>
      </c>
      <c r="O25" s="243">
        <v>4761.12</v>
      </c>
      <c r="P25" s="243">
        <v>4955.7299999999996</v>
      </c>
      <c r="Q25" s="243">
        <v>4990.0200000000004</v>
      </c>
      <c r="R25" s="243">
        <v>5356.74</v>
      </c>
      <c r="S25" s="243">
        <v>5417.89</v>
      </c>
      <c r="T25" s="243">
        <v>5307.82</v>
      </c>
      <c r="U25" s="263">
        <f t="shared" si="6"/>
        <v>59104.17</v>
      </c>
      <c r="W25" s="264">
        <f t="shared" si="7"/>
        <v>102</v>
      </c>
      <c r="X25" s="264">
        <f t="shared" si="8"/>
        <v>102</v>
      </c>
      <c r="Y25" s="264">
        <f t="shared" si="9"/>
        <v>102.5</v>
      </c>
      <c r="Z25" s="264">
        <f t="shared" si="10"/>
        <v>103</v>
      </c>
      <c r="AA25" s="264">
        <f t="shared" si="11"/>
        <v>103.99825251201398</v>
      </c>
      <c r="AB25" s="264">
        <f t="shared" si="12"/>
        <v>104.99999999999999</v>
      </c>
      <c r="AC25" s="264">
        <f t="shared" si="13"/>
        <v>104</v>
      </c>
      <c r="AD25" s="264">
        <f t="shared" si="14"/>
        <v>108.25098296199212</v>
      </c>
      <c r="AE25" s="264">
        <f t="shared" si="15"/>
        <v>109</v>
      </c>
      <c r="AF25" s="264">
        <f t="shared" si="16"/>
        <v>109.49999999999999</v>
      </c>
      <c r="AG25" s="264">
        <f t="shared" si="17"/>
        <v>110.75</v>
      </c>
      <c r="AH25" s="264">
        <f t="shared" si="18"/>
        <v>108.49999999999999</v>
      </c>
      <c r="AI25" s="265">
        <f t="shared" si="19"/>
        <v>105.70826962283384</v>
      </c>
      <c r="AJ25" s="266">
        <f t="shared" si="20"/>
        <v>1268.4992354740061</v>
      </c>
      <c r="AK25" s="45"/>
      <c r="AL25" s="266"/>
      <c r="AN25" s="241">
        <v>1</v>
      </c>
      <c r="AO25" s="240">
        <f t="shared" ref="AO25:AO39" si="21">+$AI25*AN25</f>
        <v>105.70826962283384</v>
      </c>
      <c r="AP25" s="241">
        <v>0</v>
      </c>
      <c r="AQ25" s="240">
        <f t="shared" ref="AQ25:AQ39" si="22">+$AI25*AP25</f>
        <v>0</v>
      </c>
      <c r="AR25" s="241">
        <v>0</v>
      </c>
      <c r="AS25" s="240">
        <f t="shared" ref="AS25:AS39" si="23">+$AI25*AR25</f>
        <v>0</v>
      </c>
      <c r="AT25" s="241">
        <v>0</v>
      </c>
      <c r="AU25" s="240">
        <f t="shared" si="3"/>
        <v>0</v>
      </c>
    </row>
    <row r="26" spans="2:47" s="253" customFormat="1" x14ac:dyDescent="0.2">
      <c r="B26" s="241" t="str">
        <f>"Vanc"&amp;"multifamily"&amp;C26</f>
        <v>VancmultifamilyVMF96CO</v>
      </c>
      <c r="C26" s="232" t="s">
        <v>1244</v>
      </c>
      <c r="D26" s="232" t="s">
        <v>1245</v>
      </c>
      <c r="E26" s="238">
        <v>80.12</v>
      </c>
      <c r="F26" s="238">
        <v>80.12</v>
      </c>
      <c r="G26" s="238">
        <v>85.61</v>
      </c>
      <c r="H26" s="261"/>
      <c r="I26" s="243">
        <v>0</v>
      </c>
      <c r="J26" s="243">
        <v>0</v>
      </c>
      <c r="K26" s="243">
        <v>801.2</v>
      </c>
      <c r="L26" s="243">
        <v>0</v>
      </c>
      <c r="M26" s="243">
        <v>0</v>
      </c>
      <c r="N26" s="243">
        <v>0</v>
      </c>
      <c r="O26" s="243">
        <v>0</v>
      </c>
      <c r="P26" s="243">
        <v>0</v>
      </c>
      <c r="Q26" s="243">
        <v>0</v>
      </c>
      <c r="R26" s="243">
        <v>0</v>
      </c>
      <c r="S26" s="243">
        <v>0</v>
      </c>
      <c r="T26" s="243">
        <v>0</v>
      </c>
      <c r="U26" s="263">
        <f t="shared" si="6"/>
        <v>801.2</v>
      </c>
      <c r="W26" s="264">
        <f t="shared" si="7"/>
        <v>0</v>
      </c>
      <c r="X26" s="264">
        <f t="shared" si="8"/>
        <v>0</v>
      </c>
      <c r="Y26" s="264">
        <f t="shared" si="9"/>
        <v>10</v>
      </c>
      <c r="Z26" s="264">
        <f t="shared" si="10"/>
        <v>0</v>
      </c>
      <c r="AA26" s="264">
        <f t="shared" si="11"/>
        <v>0</v>
      </c>
      <c r="AB26" s="264">
        <f t="shared" si="12"/>
        <v>0</v>
      </c>
      <c r="AC26" s="264">
        <f t="shared" si="13"/>
        <v>0</v>
      </c>
      <c r="AD26" s="264">
        <f t="shared" si="14"/>
        <v>0</v>
      </c>
      <c r="AE26" s="264">
        <f t="shared" si="15"/>
        <v>0</v>
      </c>
      <c r="AF26" s="264">
        <f t="shared" si="16"/>
        <v>0</v>
      </c>
      <c r="AG26" s="264">
        <f t="shared" si="17"/>
        <v>0</v>
      </c>
      <c r="AH26" s="264">
        <f t="shared" si="18"/>
        <v>0</v>
      </c>
      <c r="AI26" s="265">
        <f t="shared" si="19"/>
        <v>0.83333333333333337</v>
      </c>
      <c r="AJ26" s="266">
        <f t="shared" si="20"/>
        <v>10</v>
      </c>
      <c r="AK26" s="45"/>
      <c r="AL26" s="266"/>
      <c r="AN26" s="241">
        <v>1</v>
      </c>
      <c r="AO26" s="240">
        <f t="shared" si="21"/>
        <v>0.83333333333333337</v>
      </c>
      <c r="AP26" s="241">
        <v>0</v>
      </c>
      <c r="AQ26" s="240">
        <f t="shared" si="22"/>
        <v>0</v>
      </c>
      <c r="AR26" s="241">
        <v>0</v>
      </c>
      <c r="AS26" s="240">
        <f t="shared" si="23"/>
        <v>0</v>
      </c>
      <c r="AT26" s="241">
        <v>0</v>
      </c>
      <c r="AU26" s="240">
        <f t="shared" si="3"/>
        <v>0</v>
      </c>
    </row>
    <row r="27" spans="2:47" s="253" customFormat="1" x14ac:dyDescent="0.2">
      <c r="B27" s="241" t="str">
        <f>"Vanc"&amp;"multifamily"&amp;C27</f>
        <v>VancmultifamilyVMF96W</v>
      </c>
      <c r="C27" s="232" t="s">
        <v>1246</v>
      </c>
      <c r="D27" s="232" t="s">
        <v>1247</v>
      </c>
      <c r="E27" s="238">
        <v>68.67</v>
      </c>
      <c r="F27" s="238">
        <v>68.67</v>
      </c>
      <c r="G27" s="238">
        <v>73.38</v>
      </c>
      <c r="H27" s="261"/>
      <c r="I27" s="243">
        <v>1442.07</v>
      </c>
      <c r="J27" s="243">
        <v>1442.07</v>
      </c>
      <c r="K27" s="243">
        <v>1442.07</v>
      </c>
      <c r="L27" s="243">
        <v>1442.07</v>
      </c>
      <c r="M27" s="243">
        <v>1510.74</v>
      </c>
      <c r="N27" s="243">
        <v>1510.74</v>
      </c>
      <c r="O27" s="243">
        <v>1579.41</v>
      </c>
      <c r="P27" s="243">
        <v>1579.41</v>
      </c>
      <c r="Q27" s="243">
        <v>1579.41</v>
      </c>
      <c r="R27" s="243">
        <v>1687.74</v>
      </c>
      <c r="S27" s="243">
        <v>1687.74</v>
      </c>
      <c r="T27" s="243">
        <v>1687.74</v>
      </c>
      <c r="U27" s="263">
        <f t="shared" si="6"/>
        <v>18591.210000000003</v>
      </c>
      <c r="W27" s="264">
        <f t="shared" si="7"/>
        <v>21</v>
      </c>
      <c r="X27" s="264">
        <f t="shared" si="8"/>
        <v>21</v>
      </c>
      <c r="Y27" s="264">
        <f t="shared" si="9"/>
        <v>21</v>
      </c>
      <c r="Z27" s="264">
        <f t="shared" si="10"/>
        <v>21</v>
      </c>
      <c r="AA27" s="264">
        <f t="shared" si="11"/>
        <v>22</v>
      </c>
      <c r="AB27" s="264">
        <f t="shared" si="12"/>
        <v>22</v>
      </c>
      <c r="AC27" s="264">
        <f t="shared" si="13"/>
        <v>23</v>
      </c>
      <c r="AD27" s="264">
        <f t="shared" si="14"/>
        <v>23</v>
      </c>
      <c r="AE27" s="264">
        <f t="shared" si="15"/>
        <v>23</v>
      </c>
      <c r="AF27" s="264">
        <f t="shared" si="16"/>
        <v>23</v>
      </c>
      <c r="AG27" s="264">
        <f t="shared" si="17"/>
        <v>23</v>
      </c>
      <c r="AH27" s="264">
        <f t="shared" si="18"/>
        <v>23</v>
      </c>
      <c r="AI27" s="265">
        <f t="shared" si="19"/>
        <v>22.166666666666668</v>
      </c>
      <c r="AJ27" s="266">
        <f t="shared" si="20"/>
        <v>266</v>
      </c>
      <c r="AK27" s="45"/>
      <c r="AL27" s="266"/>
      <c r="AN27" s="241">
        <v>1</v>
      </c>
      <c r="AO27" s="240">
        <f t="shared" si="21"/>
        <v>22.166666666666668</v>
      </c>
      <c r="AP27" s="241">
        <v>0</v>
      </c>
      <c r="AQ27" s="240">
        <f t="shared" si="22"/>
        <v>0</v>
      </c>
      <c r="AR27" s="241">
        <v>0</v>
      </c>
      <c r="AS27" s="240">
        <f t="shared" si="23"/>
        <v>0</v>
      </c>
      <c r="AT27" s="241">
        <v>0</v>
      </c>
      <c r="AU27" s="240">
        <f t="shared" si="3"/>
        <v>0</v>
      </c>
    </row>
    <row r="28" spans="2:47" s="253" customFormat="1" x14ac:dyDescent="0.2">
      <c r="B28" s="241" t="str">
        <f t="shared" si="5"/>
        <v>VancresidentialVRA32CO</v>
      </c>
      <c r="C28" s="232" t="s">
        <v>732</v>
      </c>
      <c r="D28" s="232" t="s">
        <v>757</v>
      </c>
      <c r="E28" s="238">
        <v>34.340000000000003</v>
      </c>
      <c r="F28" s="238">
        <v>34.340000000000003</v>
      </c>
      <c r="G28" s="238">
        <v>36.69</v>
      </c>
      <c r="H28" s="261"/>
      <c r="I28" s="243">
        <v>2214.9299999999998</v>
      </c>
      <c r="J28" s="243">
        <v>2283.61</v>
      </c>
      <c r="K28" s="243">
        <v>2283.61</v>
      </c>
      <c r="L28" s="243">
        <v>2412.3900000000003</v>
      </c>
      <c r="M28" s="243">
        <v>2369.46</v>
      </c>
      <c r="N28" s="243">
        <v>2455.31</v>
      </c>
      <c r="O28" s="243">
        <v>2369.46</v>
      </c>
      <c r="P28" s="243">
        <v>2493.9450000000002</v>
      </c>
      <c r="Q28" s="243">
        <v>2485.355</v>
      </c>
      <c r="R28" s="243">
        <v>2603.8150000000001</v>
      </c>
      <c r="S28" s="243">
        <v>2567.125</v>
      </c>
      <c r="T28" s="243">
        <v>2540.7849999999999</v>
      </c>
      <c r="U28" s="263">
        <f t="shared" si="6"/>
        <v>29079.794999999998</v>
      </c>
      <c r="W28" s="264">
        <f t="shared" si="7"/>
        <v>64.499999999999986</v>
      </c>
      <c r="X28" s="264">
        <f t="shared" si="8"/>
        <v>66.5</v>
      </c>
      <c r="Y28" s="264">
        <f t="shared" si="9"/>
        <v>66.5</v>
      </c>
      <c r="Z28" s="264">
        <f t="shared" si="10"/>
        <v>70.25014560279557</v>
      </c>
      <c r="AA28" s="264">
        <f t="shared" si="11"/>
        <v>69</v>
      </c>
      <c r="AB28" s="264">
        <f t="shared" si="12"/>
        <v>71.499999999999986</v>
      </c>
      <c r="AC28" s="264">
        <f t="shared" si="13"/>
        <v>69</v>
      </c>
      <c r="AD28" s="264">
        <f t="shared" si="14"/>
        <v>72.625072801397778</v>
      </c>
      <c r="AE28" s="264">
        <f t="shared" si="15"/>
        <v>72.374927198602208</v>
      </c>
      <c r="AF28" s="264">
        <f t="shared" si="16"/>
        <v>70.967974925047699</v>
      </c>
      <c r="AG28" s="264">
        <f t="shared" si="17"/>
        <v>69.967974925047699</v>
      </c>
      <c r="AH28" s="264">
        <f t="shared" si="18"/>
        <v>69.250068138457351</v>
      </c>
      <c r="AI28" s="265">
        <f t="shared" si="19"/>
        <v>69.369680299279011</v>
      </c>
      <c r="AJ28" s="266">
        <f t="shared" si="20"/>
        <v>832.43616359134819</v>
      </c>
      <c r="AK28" s="45"/>
      <c r="AL28" s="266"/>
      <c r="AN28" s="241">
        <v>1</v>
      </c>
      <c r="AO28" s="240">
        <f t="shared" si="21"/>
        <v>69.369680299279011</v>
      </c>
      <c r="AP28" s="241">
        <v>0</v>
      </c>
      <c r="AQ28" s="240">
        <f t="shared" si="22"/>
        <v>0</v>
      </c>
      <c r="AR28" s="241">
        <v>0</v>
      </c>
      <c r="AS28" s="240">
        <f t="shared" si="23"/>
        <v>0</v>
      </c>
      <c r="AT28" s="241">
        <v>0</v>
      </c>
      <c r="AU28" s="240">
        <f t="shared" si="3"/>
        <v>0</v>
      </c>
    </row>
    <row r="29" spans="2:47" s="253" customFormat="1" x14ac:dyDescent="0.2">
      <c r="B29" s="241" t="str">
        <f t="shared" si="5"/>
        <v>VancresidentialVRA32EOW</v>
      </c>
      <c r="C29" s="232" t="s">
        <v>733</v>
      </c>
      <c r="D29" s="232" t="s">
        <v>758</v>
      </c>
      <c r="E29" s="238">
        <v>17.170000000000002</v>
      </c>
      <c r="F29" s="238">
        <v>17.170000000000002</v>
      </c>
      <c r="G29" s="238">
        <v>36.700000000000003</v>
      </c>
      <c r="H29" s="261"/>
      <c r="I29" s="243">
        <v>88376.650000000009</v>
      </c>
      <c r="J29" s="243">
        <v>89772.725000000006</v>
      </c>
      <c r="K29" s="243">
        <v>89057.165000000008</v>
      </c>
      <c r="L29" s="243">
        <v>89725.85</v>
      </c>
      <c r="M29" s="243">
        <v>89082.290000000008</v>
      </c>
      <c r="N29" s="243">
        <v>88545.744999999995</v>
      </c>
      <c r="O29" s="243">
        <v>87730.044999999998</v>
      </c>
      <c r="P29" s="243">
        <v>88252.49</v>
      </c>
      <c r="Q29" s="243">
        <v>87209.53</v>
      </c>
      <c r="R29" s="243">
        <v>94255.91</v>
      </c>
      <c r="S29" s="243">
        <v>93214.17</v>
      </c>
      <c r="T29" s="243">
        <v>94759.565000000002</v>
      </c>
      <c r="U29" s="263">
        <f t="shared" si="6"/>
        <v>1079982.1350000002</v>
      </c>
      <c r="W29" s="264">
        <f t="shared" si="7"/>
        <v>5147.1549213744902</v>
      </c>
      <c r="X29" s="264">
        <f t="shared" si="8"/>
        <v>5228.4638905066977</v>
      </c>
      <c r="Y29" s="264">
        <f t="shared" si="9"/>
        <v>5186.7888759464186</v>
      </c>
      <c r="Z29" s="264">
        <f t="shared" si="10"/>
        <v>5225.7338380896908</v>
      </c>
      <c r="AA29" s="264">
        <f t="shared" si="11"/>
        <v>5188.252184041934</v>
      </c>
      <c r="AB29" s="264">
        <f t="shared" si="12"/>
        <v>5157.0032032615018</v>
      </c>
      <c r="AC29" s="264">
        <f t="shared" si="13"/>
        <v>5109.4959231217235</v>
      </c>
      <c r="AD29" s="264">
        <f t="shared" si="14"/>
        <v>5139.9237041351189</v>
      </c>
      <c r="AE29" s="264">
        <f t="shared" si="15"/>
        <v>5079.1805474665107</v>
      </c>
      <c r="AF29" s="264">
        <f t="shared" si="16"/>
        <v>2568.2809264305174</v>
      </c>
      <c r="AG29" s="264">
        <f t="shared" si="17"/>
        <v>2539.8956403269754</v>
      </c>
      <c r="AH29" s="264">
        <f t="shared" si="18"/>
        <v>2582.0044959128063</v>
      </c>
      <c r="AI29" s="265">
        <f t="shared" si="19"/>
        <v>4512.6815125511994</v>
      </c>
      <c r="AJ29" s="266">
        <f t="shared" si="20"/>
        <v>54152.178150614389</v>
      </c>
      <c r="AK29" s="45"/>
      <c r="AL29" s="266"/>
      <c r="AN29" s="241">
        <v>1</v>
      </c>
      <c r="AO29" s="240">
        <f t="shared" si="21"/>
        <v>4512.6815125511994</v>
      </c>
      <c r="AP29" s="241">
        <v>0</v>
      </c>
      <c r="AQ29" s="240">
        <f t="shared" si="22"/>
        <v>0</v>
      </c>
      <c r="AR29" s="241">
        <v>0</v>
      </c>
      <c r="AS29" s="240">
        <f t="shared" si="23"/>
        <v>0</v>
      </c>
      <c r="AT29" s="241">
        <v>0</v>
      </c>
      <c r="AU29" s="240">
        <f t="shared" si="3"/>
        <v>0</v>
      </c>
    </row>
    <row r="30" spans="2:47" s="253" customFormat="1" x14ac:dyDescent="0.2">
      <c r="B30" s="241" t="str">
        <f t="shared" si="5"/>
        <v>VancresidentialVRA32MO</v>
      </c>
      <c r="C30" s="232" t="s">
        <v>734</v>
      </c>
      <c r="D30" s="232" t="s">
        <v>759</v>
      </c>
      <c r="E30" s="238">
        <v>10.3</v>
      </c>
      <c r="F30" s="238">
        <v>10.3</v>
      </c>
      <c r="G30" s="238">
        <v>11.01</v>
      </c>
      <c r="H30" s="261"/>
      <c r="I30" s="243">
        <v>12288.060000000001</v>
      </c>
      <c r="J30" s="243">
        <v>12488.75</v>
      </c>
      <c r="K30" s="243">
        <v>12452.15</v>
      </c>
      <c r="L30" s="243">
        <v>12519.65</v>
      </c>
      <c r="M30" s="243">
        <v>12357.41</v>
      </c>
      <c r="N30" s="243">
        <v>12426.949999999999</v>
      </c>
      <c r="O30" s="243">
        <v>12313.279999999999</v>
      </c>
      <c r="P30" s="243">
        <v>11642.27</v>
      </c>
      <c r="Q30" s="243">
        <v>12215.8</v>
      </c>
      <c r="R30" s="243">
        <v>13048.45</v>
      </c>
      <c r="S30" s="243">
        <v>12885.43</v>
      </c>
      <c r="T30" s="243">
        <v>13408.494999999999</v>
      </c>
      <c r="U30" s="263">
        <f t="shared" si="6"/>
        <v>150046.69500000001</v>
      </c>
      <c r="W30" s="264">
        <f t="shared" si="7"/>
        <v>1193.0155339805826</v>
      </c>
      <c r="X30" s="264">
        <f t="shared" si="8"/>
        <v>1212.5</v>
      </c>
      <c r="Y30" s="264">
        <f t="shared" si="9"/>
        <v>1208.9466019417475</v>
      </c>
      <c r="Z30" s="264">
        <f t="shared" si="10"/>
        <v>1215.4999999999998</v>
      </c>
      <c r="AA30" s="264">
        <f t="shared" si="11"/>
        <v>1199.7485436893203</v>
      </c>
      <c r="AB30" s="264">
        <f t="shared" si="12"/>
        <v>1206.4999999999998</v>
      </c>
      <c r="AC30" s="264">
        <f t="shared" si="13"/>
        <v>1195.4640776699027</v>
      </c>
      <c r="AD30" s="264">
        <f t="shared" si="14"/>
        <v>1130.3174757281554</v>
      </c>
      <c r="AE30" s="264">
        <f t="shared" si="15"/>
        <v>1185.9999999999998</v>
      </c>
      <c r="AF30" s="264">
        <f t="shared" si="16"/>
        <v>1185.1453224341508</v>
      </c>
      <c r="AG30" s="264">
        <f t="shared" si="17"/>
        <v>1170.338782924614</v>
      </c>
      <c r="AH30" s="264">
        <f t="shared" si="18"/>
        <v>1217.8469573115349</v>
      </c>
      <c r="AI30" s="265">
        <f t="shared" si="19"/>
        <v>1193.4436079733339</v>
      </c>
      <c r="AJ30" s="266">
        <f t="shared" si="20"/>
        <v>14321.323295680008</v>
      </c>
      <c r="AK30" s="45"/>
      <c r="AL30" s="266"/>
      <c r="AN30" s="241">
        <v>1</v>
      </c>
      <c r="AO30" s="240">
        <f t="shared" si="21"/>
        <v>1193.4436079733339</v>
      </c>
      <c r="AP30" s="241">
        <v>0</v>
      </c>
      <c r="AQ30" s="240">
        <f t="shared" si="22"/>
        <v>0</v>
      </c>
      <c r="AR30" s="241">
        <v>0</v>
      </c>
      <c r="AS30" s="240">
        <f t="shared" si="23"/>
        <v>0</v>
      </c>
      <c r="AT30" s="241">
        <v>0</v>
      </c>
      <c r="AU30" s="240">
        <f t="shared" si="3"/>
        <v>0</v>
      </c>
    </row>
    <row r="31" spans="2:47" s="253" customFormat="1" x14ac:dyDescent="0.2">
      <c r="B31" s="241" t="str">
        <f t="shared" si="5"/>
        <v>VancresidentialVRA32W</v>
      </c>
      <c r="C31" s="232" t="s">
        <v>735</v>
      </c>
      <c r="D31" s="232" t="s">
        <v>760</v>
      </c>
      <c r="E31" s="238">
        <v>22.89</v>
      </c>
      <c r="F31" s="238">
        <v>22.89</v>
      </c>
      <c r="G31" s="238">
        <v>24.46</v>
      </c>
      <c r="H31" s="261"/>
      <c r="I31" s="243">
        <v>590677.57000000007</v>
      </c>
      <c r="J31" s="243">
        <v>594986.55499999993</v>
      </c>
      <c r="K31" s="243">
        <v>592617.14500000002</v>
      </c>
      <c r="L31" s="243">
        <v>593792.40500000003</v>
      </c>
      <c r="M31" s="243">
        <v>590629.73499999999</v>
      </c>
      <c r="N31" s="243">
        <v>591681.31999999995</v>
      </c>
      <c r="O31" s="243">
        <v>588233.93999999994</v>
      </c>
      <c r="P31" s="243">
        <v>586829.44500000007</v>
      </c>
      <c r="Q31" s="243">
        <v>584364.51500000001</v>
      </c>
      <c r="R31" s="243">
        <v>622605.16499999992</v>
      </c>
      <c r="S31" s="243">
        <v>619724.745</v>
      </c>
      <c r="T31" s="243">
        <v>621838.91500000004</v>
      </c>
      <c r="U31" s="263">
        <f t="shared" si="6"/>
        <v>7177981.4549999991</v>
      </c>
      <c r="W31" s="264">
        <f t="shared" si="7"/>
        <v>25805.048929663611</v>
      </c>
      <c r="X31" s="264">
        <f t="shared" si="8"/>
        <v>25993.296417649624</v>
      </c>
      <c r="Y31" s="264">
        <f t="shared" si="9"/>
        <v>25889.783529925731</v>
      </c>
      <c r="Z31" s="264">
        <f t="shared" si="10"/>
        <v>25941.127348186983</v>
      </c>
      <c r="AA31" s="264">
        <f t="shared" si="11"/>
        <v>25802.959152468324</v>
      </c>
      <c r="AB31" s="264">
        <f t="shared" si="12"/>
        <v>25848.899956312798</v>
      </c>
      <c r="AC31" s="264">
        <f t="shared" si="13"/>
        <v>25698.293577981647</v>
      </c>
      <c r="AD31" s="264">
        <f t="shared" si="14"/>
        <v>25636.93512450852</v>
      </c>
      <c r="AE31" s="264">
        <f t="shared" si="15"/>
        <v>25529.249235474006</v>
      </c>
      <c r="AF31" s="264">
        <f t="shared" si="16"/>
        <v>25454.013286999179</v>
      </c>
      <c r="AG31" s="264">
        <f t="shared" si="17"/>
        <v>25336.252861815206</v>
      </c>
      <c r="AH31" s="264">
        <f t="shared" si="18"/>
        <v>25422.686631234668</v>
      </c>
      <c r="AI31" s="265">
        <f t="shared" si="19"/>
        <v>25696.545504351689</v>
      </c>
      <c r="AJ31" s="266">
        <f t="shared" si="20"/>
        <v>308358.54605222028</v>
      </c>
      <c r="AK31" s="45"/>
      <c r="AL31" s="266"/>
      <c r="AN31" s="241">
        <v>1</v>
      </c>
      <c r="AO31" s="240">
        <f t="shared" si="21"/>
        <v>25696.545504351689</v>
      </c>
      <c r="AP31" s="241">
        <v>0</v>
      </c>
      <c r="AQ31" s="240">
        <f t="shared" si="22"/>
        <v>0</v>
      </c>
      <c r="AR31" s="241">
        <v>0</v>
      </c>
      <c r="AS31" s="240">
        <f t="shared" si="23"/>
        <v>0</v>
      </c>
      <c r="AT31" s="241">
        <v>0</v>
      </c>
      <c r="AU31" s="240">
        <f t="shared" si="3"/>
        <v>0</v>
      </c>
    </row>
    <row r="32" spans="2:47" s="253" customFormat="1" x14ac:dyDescent="0.2">
      <c r="B32" s="241" t="str">
        <f t="shared" si="5"/>
        <v>VancresidentialVRA32EOWHEL</v>
      </c>
      <c r="C32" s="232" t="s">
        <v>736</v>
      </c>
      <c r="D32" s="232" t="s">
        <v>761</v>
      </c>
      <c r="E32" s="238">
        <v>17.170000000000002</v>
      </c>
      <c r="F32" s="238">
        <v>17.170000000000002</v>
      </c>
      <c r="G32" s="238">
        <v>18.350000000000001</v>
      </c>
      <c r="H32" s="261"/>
      <c r="I32" s="243">
        <v>188.87</v>
      </c>
      <c r="J32" s="243">
        <v>188.87</v>
      </c>
      <c r="K32" s="243">
        <v>188.87</v>
      </c>
      <c r="L32" s="243">
        <v>188.87</v>
      </c>
      <c r="M32" s="243">
        <v>188.87</v>
      </c>
      <c r="N32" s="243">
        <v>206.04</v>
      </c>
      <c r="O32" s="243">
        <v>206.04</v>
      </c>
      <c r="P32" s="243">
        <v>206.04</v>
      </c>
      <c r="Q32" s="243">
        <v>206.04</v>
      </c>
      <c r="R32" s="243">
        <v>247.73</v>
      </c>
      <c r="S32" s="243">
        <v>238.56</v>
      </c>
      <c r="T32" s="243">
        <v>256.89999999999998</v>
      </c>
      <c r="U32" s="263">
        <f t="shared" si="6"/>
        <v>2511.7000000000003</v>
      </c>
      <c r="W32" s="264">
        <f t="shared" si="7"/>
        <v>11</v>
      </c>
      <c r="X32" s="264">
        <f t="shared" si="8"/>
        <v>11</v>
      </c>
      <c r="Y32" s="264">
        <f t="shared" si="9"/>
        <v>11</v>
      </c>
      <c r="Z32" s="264">
        <f t="shared" si="10"/>
        <v>11</v>
      </c>
      <c r="AA32" s="264">
        <f t="shared" si="11"/>
        <v>11</v>
      </c>
      <c r="AB32" s="264">
        <f t="shared" si="12"/>
        <v>11.999999999999998</v>
      </c>
      <c r="AC32" s="264">
        <f t="shared" si="13"/>
        <v>11.999999999999998</v>
      </c>
      <c r="AD32" s="264">
        <f t="shared" si="14"/>
        <v>11.999999999999998</v>
      </c>
      <c r="AE32" s="264">
        <f t="shared" si="15"/>
        <v>11.999999999999998</v>
      </c>
      <c r="AF32" s="264">
        <f t="shared" si="16"/>
        <v>13.500272479564032</v>
      </c>
      <c r="AG32" s="264">
        <f t="shared" si="17"/>
        <v>13.000544959128064</v>
      </c>
      <c r="AH32" s="264">
        <f t="shared" si="18"/>
        <v>13.999999999999998</v>
      </c>
      <c r="AI32" s="265">
        <f t="shared" si="19"/>
        <v>11.95840145322434</v>
      </c>
      <c r="AJ32" s="266">
        <f t="shared" si="20"/>
        <v>143.50081743869208</v>
      </c>
      <c r="AK32" s="45"/>
      <c r="AL32" s="266"/>
      <c r="AN32" s="241">
        <v>1</v>
      </c>
      <c r="AO32" s="240">
        <f t="shared" si="21"/>
        <v>11.95840145322434</v>
      </c>
      <c r="AP32" s="241">
        <v>0</v>
      </c>
      <c r="AQ32" s="240">
        <f t="shared" si="22"/>
        <v>0</v>
      </c>
      <c r="AR32" s="241">
        <v>0</v>
      </c>
      <c r="AS32" s="240">
        <f t="shared" si="23"/>
        <v>0</v>
      </c>
      <c r="AT32" s="241">
        <v>0</v>
      </c>
      <c r="AU32" s="240">
        <f t="shared" si="3"/>
        <v>0</v>
      </c>
    </row>
    <row r="33" spans="2:47" s="253" customFormat="1" x14ac:dyDescent="0.2">
      <c r="B33" s="241" t="str">
        <f t="shared" si="5"/>
        <v>VancresidentialVRA32MHEL</v>
      </c>
      <c r="C33" s="232" t="s">
        <v>737</v>
      </c>
      <c r="D33" s="232" t="s">
        <v>762</v>
      </c>
      <c r="E33" s="238">
        <v>10.3</v>
      </c>
      <c r="F33" s="238">
        <v>10.3</v>
      </c>
      <c r="G33" s="238">
        <v>11.01</v>
      </c>
      <c r="H33" s="261"/>
      <c r="I33" s="243">
        <v>30.9</v>
      </c>
      <c r="J33" s="243">
        <v>30.9</v>
      </c>
      <c r="K33" s="243">
        <v>30.9</v>
      </c>
      <c r="L33" s="243">
        <v>30.9</v>
      </c>
      <c r="M33" s="243">
        <v>30.9</v>
      </c>
      <c r="N33" s="243">
        <v>30.9</v>
      </c>
      <c r="O33" s="243">
        <v>30.9</v>
      </c>
      <c r="P33" s="243">
        <v>30.9</v>
      </c>
      <c r="Q33" s="243">
        <v>30.9</v>
      </c>
      <c r="R33" s="243">
        <v>44.04</v>
      </c>
      <c r="S33" s="243">
        <v>44.04</v>
      </c>
      <c r="T33" s="243">
        <v>44.04</v>
      </c>
      <c r="U33" s="263">
        <f t="shared" si="6"/>
        <v>410.22000000000008</v>
      </c>
      <c r="W33" s="264">
        <f t="shared" si="7"/>
        <v>2.9999999999999996</v>
      </c>
      <c r="X33" s="264">
        <f t="shared" si="8"/>
        <v>2.9999999999999996</v>
      </c>
      <c r="Y33" s="264">
        <f t="shared" si="9"/>
        <v>2.9999999999999996</v>
      </c>
      <c r="Z33" s="264">
        <f t="shared" si="10"/>
        <v>2.9999999999999996</v>
      </c>
      <c r="AA33" s="264">
        <f t="shared" si="11"/>
        <v>2.9999999999999996</v>
      </c>
      <c r="AB33" s="264">
        <f t="shared" si="12"/>
        <v>2.9999999999999996</v>
      </c>
      <c r="AC33" s="264">
        <f t="shared" si="13"/>
        <v>2.9999999999999996</v>
      </c>
      <c r="AD33" s="264">
        <f t="shared" si="14"/>
        <v>2.9999999999999996</v>
      </c>
      <c r="AE33" s="264">
        <f t="shared" si="15"/>
        <v>2.9999999999999996</v>
      </c>
      <c r="AF33" s="264">
        <f t="shared" si="16"/>
        <v>4</v>
      </c>
      <c r="AG33" s="264">
        <f t="shared" si="17"/>
        <v>4</v>
      </c>
      <c r="AH33" s="264">
        <f t="shared" si="18"/>
        <v>4</v>
      </c>
      <c r="AI33" s="265">
        <f t="shared" si="19"/>
        <v>3.25</v>
      </c>
      <c r="AJ33" s="266">
        <f t="shared" si="20"/>
        <v>39</v>
      </c>
      <c r="AK33" s="45"/>
      <c r="AL33" s="266"/>
      <c r="AN33" s="241">
        <v>1</v>
      </c>
      <c r="AO33" s="240">
        <f t="shared" si="21"/>
        <v>3.25</v>
      </c>
      <c r="AP33" s="241">
        <v>0</v>
      </c>
      <c r="AQ33" s="240">
        <f t="shared" si="22"/>
        <v>0</v>
      </c>
      <c r="AR33" s="241">
        <v>0</v>
      </c>
      <c r="AS33" s="240">
        <f t="shared" si="23"/>
        <v>0</v>
      </c>
      <c r="AT33" s="241">
        <v>0</v>
      </c>
      <c r="AU33" s="240">
        <f t="shared" si="3"/>
        <v>0</v>
      </c>
    </row>
    <row r="34" spans="2:47" s="253" customFormat="1" x14ac:dyDescent="0.2">
      <c r="B34" s="241" t="str">
        <f t="shared" si="5"/>
        <v>VancresidentialVRA32WHEL</v>
      </c>
      <c r="C34" s="232" t="s">
        <v>738</v>
      </c>
      <c r="D34" s="232" t="s">
        <v>763</v>
      </c>
      <c r="E34" s="238">
        <v>22.89</v>
      </c>
      <c r="F34" s="238">
        <v>22.89</v>
      </c>
      <c r="G34" s="238">
        <v>24.46</v>
      </c>
      <c r="H34" s="261"/>
      <c r="I34" s="243">
        <v>778.26</v>
      </c>
      <c r="J34" s="243">
        <v>798.28499999999997</v>
      </c>
      <c r="K34" s="243">
        <v>798.28499999999997</v>
      </c>
      <c r="L34" s="243">
        <v>778.26</v>
      </c>
      <c r="M34" s="243">
        <v>778.26</v>
      </c>
      <c r="N34" s="243">
        <v>824.04</v>
      </c>
      <c r="O34" s="243">
        <v>824.04</v>
      </c>
      <c r="P34" s="243">
        <v>824.04</v>
      </c>
      <c r="Q34" s="243">
        <v>824.04</v>
      </c>
      <c r="R34" s="243">
        <v>916.86</v>
      </c>
      <c r="S34" s="243">
        <v>904.63</v>
      </c>
      <c r="T34" s="243">
        <v>874.44500000000005</v>
      </c>
      <c r="U34" s="263">
        <f t="shared" si="6"/>
        <v>9923.4449999999997</v>
      </c>
      <c r="W34" s="264">
        <f t="shared" si="7"/>
        <v>34</v>
      </c>
      <c r="X34" s="264">
        <f t="shared" si="8"/>
        <v>34.874836173001306</v>
      </c>
      <c r="Y34" s="264">
        <f t="shared" si="9"/>
        <v>34.874836173001306</v>
      </c>
      <c r="Z34" s="264">
        <f t="shared" si="10"/>
        <v>34</v>
      </c>
      <c r="AA34" s="264">
        <f t="shared" si="11"/>
        <v>34</v>
      </c>
      <c r="AB34" s="264">
        <f t="shared" si="12"/>
        <v>36</v>
      </c>
      <c r="AC34" s="264">
        <f t="shared" si="13"/>
        <v>36</v>
      </c>
      <c r="AD34" s="264">
        <f t="shared" si="14"/>
        <v>36</v>
      </c>
      <c r="AE34" s="264">
        <f t="shared" si="15"/>
        <v>36</v>
      </c>
      <c r="AF34" s="264">
        <f t="shared" si="16"/>
        <v>37.484055600981193</v>
      </c>
      <c r="AG34" s="264">
        <f t="shared" si="17"/>
        <v>36.984055600981193</v>
      </c>
      <c r="AH34" s="264">
        <f t="shared" si="18"/>
        <v>35.75</v>
      </c>
      <c r="AI34" s="265">
        <f t="shared" si="19"/>
        <v>35.497315295663753</v>
      </c>
      <c r="AJ34" s="266">
        <f t="shared" si="20"/>
        <v>425.96778354796504</v>
      </c>
      <c r="AK34" s="45"/>
      <c r="AL34" s="266"/>
      <c r="AN34" s="241">
        <v>1</v>
      </c>
      <c r="AO34" s="240">
        <f t="shared" si="21"/>
        <v>35.497315295663753</v>
      </c>
      <c r="AP34" s="241">
        <v>0</v>
      </c>
      <c r="AQ34" s="240">
        <f t="shared" si="22"/>
        <v>0</v>
      </c>
      <c r="AR34" s="241">
        <v>0</v>
      </c>
      <c r="AS34" s="240">
        <f t="shared" si="23"/>
        <v>0</v>
      </c>
      <c r="AT34" s="241">
        <v>0</v>
      </c>
      <c r="AU34" s="240">
        <f t="shared" si="3"/>
        <v>0</v>
      </c>
    </row>
    <row r="35" spans="2:47" s="253" customFormat="1" x14ac:dyDescent="0.2">
      <c r="B35" s="241" t="str">
        <f t="shared" si="5"/>
        <v>VancresidentialVRA32EOWCO</v>
      </c>
      <c r="C35" s="232" t="s">
        <v>739</v>
      </c>
      <c r="D35" s="232" t="s">
        <v>764</v>
      </c>
      <c r="E35" s="238">
        <v>25.76</v>
      </c>
      <c r="F35" s="238">
        <v>25.76</v>
      </c>
      <c r="G35" s="238">
        <v>27.53</v>
      </c>
      <c r="H35" s="261"/>
      <c r="I35" s="243">
        <v>283.36</v>
      </c>
      <c r="J35" s="243">
        <v>283.36</v>
      </c>
      <c r="K35" s="243">
        <v>283.36</v>
      </c>
      <c r="L35" s="243">
        <v>283.36</v>
      </c>
      <c r="M35" s="243">
        <v>283.36</v>
      </c>
      <c r="N35" s="243">
        <v>276.92</v>
      </c>
      <c r="O35" s="243">
        <v>276.92</v>
      </c>
      <c r="P35" s="243">
        <v>302.68</v>
      </c>
      <c r="Q35" s="243">
        <v>302.68</v>
      </c>
      <c r="R35" s="243">
        <v>351.01</v>
      </c>
      <c r="S35" s="243">
        <v>344.13</v>
      </c>
      <c r="T35" s="243">
        <v>371.65499999999997</v>
      </c>
      <c r="U35" s="263">
        <f t="shared" si="6"/>
        <v>3642.7950000000001</v>
      </c>
      <c r="W35" s="264">
        <f t="shared" si="7"/>
        <v>11</v>
      </c>
      <c r="X35" s="264">
        <f t="shared" si="8"/>
        <v>11</v>
      </c>
      <c r="Y35" s="264">
        <f t="shared" si="9"/>
        <v>11</v>
      </c>
      <c r="Z35" s="264">
        <f t="shared" si="10"/>
        <v>11</v>
      </c>
      <c r="AA35" s="264">
        <f t="shared" si="11"/>
        <v>11</v>
      </c>
      <c r="AB35" s="264">
        <f t="shared" si="12"/>
        <v>10.75</v>
      </c>
      <c r="AC35" s="264">
        <f t="shared" si="13"/>
        <v>10.75</v>
      </c>
      <c r="AD35" s="264">
        <f t="shared" si="14"/>
        <v>11.75</v>
      </c>
      <c r="AE35" s="264">
        <f t="shared" si="15"/>
        <v>11.75</v>
      </c>
      <c r="AF35" s="264">
        <f t="shared" si="16"/>
        <v>12.750090810025426</v>
      </c>
      <c r="AG35" s="264">
        <f t="shared" si="17"/>
        <v>12.500181620050853</v>
      </c>
      <c r="AH35" s="264">
        <f t="shared" si="18"/>
        <v>13.499999999999998</v>
      </c>
      <c r="AI35" s="265">
        <f t="shared" si="19"/>
        <v>11.562522702506357</v>
      </c>
      <c r="AJ35" s="266">
        <f t="shared" si="20"/>
        <v>138.75027243007628</v>
      </c>
      <c r="AK35" s="45"/>
      <c r="AL35" s="266"/>
      <c r="AN35" s="241">
        <v>1</v>
      </c>
      <c r="AO35" s="240">
        <f t="shared" si="21"/>
        <v>11.562522702506357</v>
      </c>
      <c r="AP35" s="241">
        <v>0</v>
      </c>
      <c r="AQ35" s="240">
        <f t="shared" si="22"/>
        <v>0</v>
      </c>
      <c r="AR35" s="241">
        <v>0</v>
      </c>
      <c r="AS35" s="240">
        <f t="shared" si="23"/>
        <v>0</v>
      </c>
      <c r="AT35" s="241">
        <v>0</v>
      </c>
      <c r="AU35" s="240">
        <f t="shared" si="3"/>
        <v>0</v>
      </c>
    </row>
    <row r="36" spans="2:47" s="253" customFormat="1" x14ac:dyDescent="0.2">
      <c r="B36" s="241" t="str">
        <f t="shared" si="5"/>
        <v>VancresidentialVRA32MCO</v>
      </c>
      <c r="C36" s="232" t="s">
        <v>740</v>
      </c>
      <c r="D36" s="232" t="s">
        <v>765</v>
      </c>
      <c r="E36" s="238">
        <v>15.45</v>
      </c>
      <c r="F36" s="238">
        <v>15.45</v>
      </c>
      <c r="G36" s="238">
        <v>16.52</v>
      </c>
      <c r="H36" s="261"/>
      <c r="I36" s="243">
        <v>69.525000000000006</v>
      </c>
      <c r="J36" s="243">
        <v>77.25</v>
      </c>
      <c r="K36" s="243">
        <v>77.25</v>
      </c>
      <c r="L36" s="243">
        <v>77.25</v>
      </c>
      <c r="M36" s="243">
        <v>61.8</v>
      </c>
      <c r="N36" s="243">
        <v>77.25</v>
      </c>
      <c r="O36" s="243">
        <v>46.35</v>
      </c>
      <c r="P36" s="243">
        <v>46.35</v>
      </c>
      <c r="Q36" s="243">
        <v>46.35</v>
      </c>
      <c r="R36" s="243">
        <v>49.56</v>
      </c>
      <c r="S36" s="243">
        <v>49.56</v>
      </c>
      <c r="T36" s="243">
        <v>49.56</v>
      </c>
      <c r="U36" s="263">
        <f t="shared" si="6"/>
        <v>728.05499999999984</v>
      </c>
      <c r="W36" s="264">
        <f t="shared" si="7"/>
        <v>4.5000000000000009</v>
      </c>
      <c r="X36" s="264">
        <f t="shared" si="8"/>
        <v>5</v>
      </c>
      <c r="Y36" s="264">
        <f t="shared" si="9"/>
        <v>5</v>
      </c>
      <c r="Z36" s="264">
        <f t="shared" si="10"/>
        <v>5</v>
      </c>
      <c r="AA36" s="264">
        <f t="shared" si="11"/>
        <v>4</v>
      </c>
      <c r="AB36" s="264">
        <f t="shared" si="12"/>
        <v>5</v>
      </c>
      <c r="AC36" s="264">
        <f t="shared" si="13"/>
        <v>3.0000000000000004</v>
      </c>
      <c r="AD36" s="264">
        <f t="shared" si="14"/>
        <v>3.0000000000000004</v>
      </c>
      <c r="AE36" s="264">
        <f t="shared" si="15"/>
        <v>3.0000000000000004</v>
      </c>
      <c r="AF36" s="264">
        <f t="shared" si="16"/>
        <v>3</v>
      </c>
      <c r="AG36" s="264">
        <f t="shared" si="17"/>
        <v>3</v>
      </c>
      <c r="AH36" s="264">
        <f t="shared" si="18"/>
        <v>3</v>
      </c>
      <c r="AI36" s="265">
        <f t="shared" si="19"/>
        <v>3.875</v>
      </c>
      <c r="AJ36" s="266">
        <f t="shared" si="20"/>
        <v>46.5</v>
      </c>
      <c r="AK36" s="45"/>
      <c r="AL36" s="266"/>
      <c r="AN36" s="241">
        <v>1</v>
      </c>
      <c r="AO36" s="240">
        <f t="shared" si="21"/>
        <v>3.875</v>
      </c>
      <c r="AP36" s="241">
        <v>0</v>
      </c>
      <c r="AQ36" s="240">
        <f t="shared" si="22"/>
        <v>0</v>
      </c>
      <c r="AR36" s="241">
        <v>0</v>
      </c>
      <c r="AS36" s="240">
        <f t="shared" si="23"/>
        <v>0</v>
      </c>
      <c r="AT36" s="241">
        <v>0</v>
      </c>
      <c r="AU36" s="240">
        <f t="shared" si="3"/>
        <v>0</v>
      </c>
    </row>
    <row r="37" spans="2:47" s="253" customFormat="1" x14ac:dyDescent="0.2">
      <c r="B37" s="241" t="str">
        <f t="shared" si="5"/>
        <v>VancresidentialVRA64W2</v>
      </c>
      <c r="C37" s="232" t="s">
        <v>741</v>
      </c>
      <c r="D37" s="232" t="s">
        <v>766</v>
      </c>
      <c r="E37" s="238">
        <v>91.56</v>
      </c>
      <c r="F37" s="238">
        <v>91.56</v>
      </c>
      <c r="G37" s="238">
        <v>97.84</v>
      </c>
      <c r="H37" s="261"/>
      <c r="I37" s="243">
        <v>3478.89</v>
      </c>
      <c r="J37" s="243">
        <v>3295.8</v>
      </c>
      <c r="K37" s="243">
        <v>3478.9</v>
      </c>
      <c r="L37" s="243">
        <v>3639.11</v>
      </c>
      <c r="M37" s="243">
        <v>3639.11</v>
      </c>
      <c r="N37" s="243">
        <v>3387.35</v>
      </c>
      <c r="O37" s="243">
        <v>3318.66</v>
      </c>
      <c r="P37" s="243">
        <v>2654.9399999999996</v>
      </c>
      <c r="Q37" s="243">
        <v>976.61999999999989</v>
      </c>
      <c r="R37" s="243">
        <v>3251.61</v>
      </c>
      <c r="S37" s="243">
        <v>3251.61</v>
      </c>
      <c r="T37" s="243">
        <v>3057.5</v>
      </c>
      <c r="U37" s="263">
        <f t="shared" si="6"/>
        <v>37430.1</v>
      </c>
      <c r="W37" s="264">
        <f t="shared" si="7"/>
        <v>37.995740498034074</v>
      </c>
      <c r="X37" s="264">
        <f t="shared" si="8"/>
        <v>35.996068152031455</v>
      </c>
      <c r="Y37" s="264">
        <f t="shared" si="9"/>
        <v>37.995849716033206</v>
      </c>
      <c r="Z37" s="264">
        <f t="shared" si="10"/>
        <v>39.745631280034949</v>
      </c>
      <c r="AA37" s="264">
        <f t="shared" si="11"/>
        <v>39.745631280034949</v>
      </c>
      <c r="AB37" s="264">
        <f t="shared" si="12"/>
        <v>36.995958934032323</v>
      </c>
      <c r="AC37" s="264">
        <f t="shared" si="13"/>
        <v>36.245740498034074</v>
      </c>
      <c r="AD37" s="264">
        <f t="shared" si="14"/>
        <v>28.996723460026207</v>
      </c>
      <c r="AE37" s="264">
        <f t="shared" si="15"/>
        <v>10.666448230668413</v>
      </c>
      <c r="AF37" s="264">
        <f t="shared" si="16"/>
        <v>33.233953393295174</v>
      </c>
      <c r="AG37" s="264">
        <f t="shared" si="17"/>
        <v>33.233953393295174</v>
      </c>
      <c r="AH37" s="264">
        <f t="shared" si="18"/>
        <v>31.25</v>
      </c>
      <c r="AI37" s="265">
        <f t="shared" si="19"/>
        <v>33.508474902960003</v>
      </c>
      <c r="AJ37" s="266">
        <f t="shared" si="20"/>
        <v>402.10169883552004</v>
      </c>
      <c r="AK37" s="45"/>
      <c r="AL37" s="266"/>
      <c r="AN37" s="241">
        <v>1</v>
      </c>
      <c r="AO37" s="240">
        <f t="shared" si="21"/>
        <v>33.508474902960003</v>
      </c>
      <c r="AP37" s="241">
        <v>0</v>
      </c>
      <c r="AQ37" s="240">
        <f t="shared" si="22"/>
        <v>0</v>
      </c>
      <c r="AR37" s="241">
        <v>0</v>
      </c>
      <c r="AS37" s="240">
        <f t="shared" si="23"/>
        <v>0</v>
      </c>
      <c r="AT37" s="241">
        <v>0</v>
      </c>
      <c r="AU37" s="240">
        <f t="shared" si="3"/>
        <v>0</v>
      </c>
    </row>
    <row r="38" spans="2:47" s="253" customFormat="1" x14ac:dyDescent="0.2">
      <c r="B38" s="241" t="str">
        <f t="shared" si="5"/>
        <v>VancresidentialVRA64W</v>
      </c>
      <c r="C38" s="232" t="s">
        <v>742</v>
      </c>
      <c r="D38" s="232" t="s">
        <v>767</v>
      </c>
      <c r="E38" s="238">
        <v>45.78</v>
      </c>
      <c r="F38" s="238">
        <v>45.78</v>
      </c>
      <c r="G38" s="238">
        <v>48.92</v>
      </c>
      <c r="H38" s="261"/>
      <c r="I38" s="243">
        <v>439695.72</v>
      </c>
      <c r="J38" s="243">
        <v>445581.70499999996</v>
      </c>
      <c r="K38" s="243">
        <v>442811.245</v>
      </c>
      <c r="L38" s="243">
        <v>447968.26999999996</v>
      </c>
      <c r="M38" s="243">
        <v>444437.94</v>
      </c>
      <c r="N38" s="243">
        <v>449576.84</v>
      </c>
      <c r="O38" s="243">
        <v>446954.2</v>
      </c>
      <c r="P38" s="243">
        <v>453491.60500000004</v>
      </c>
      <c r="Q38" s="243">
        <v>451984.435</v>
      </c>
      <c r="R38" s="243">
        <v>486943.32</v>
      </c>
      <c r="S38" s="243">
        <v>483628.95</v>
      </c>
      <c r="T38" s="243">
        <v>489686.05499999999</v>
      </c>
      <c r="U38" s="263">
        <f t="shared" si="6"/>
        <v>5482760.2850000001</v>
      </c>
      <c r="W38" s="264">
        <f t="shared" si="7"/>
        <v>9604.5373525557006</v>
      </c>
      <c r="X38" s="264">
        <f t="shared" si="8"/>
        <v>9733.1084534731308</v>
      </c>
      <c r="Y38" s="264">
        <f t="shared" si="9"/>
        <v>9672.5916339012674</v>
      </c>
      <c r="Z38" s="264">
        <f t="shared" si="10"/>
        <v>9785.2396242900813</v>
      </c>
      <c r="AA38" s="264">
        <f t="shared" si="11"/>
        <v>9708.1245085190039</v>
      </c>
      <c r="AB38" s="264">
        <f t="shared" si="12"/>
        <v>9820.3765836609873</v>
      </c>
      <c r="AC38" s="264">
        <f t="shared" si="13"/>
        <v>9763.088685015291</v>
      </c>
      <c r="AD38" s="264">
        <f t="shared" si="14"/>
        <v>9905.8891437308866</v>
      </c>
      <c r="AE38" s="264">
        <f t="shared" si="15"/>
        <v>9872.9671253822635</v>
      </c>
      <c r="AF38" s="264">
        <f t="shared" si="16"/>
        <v>9953.8699918233851</v>
      </c>
      <c r="AG38" s="264">
        <f t="shared" si="17"/>
        <v>9886.1191741618968</v>
      </c>
      <c r="AH38" s="264">
        <f t="shared" si="18"/>
        <v>10009.935711365495</v>
      </c>
      <c r="AI38" s="265">
        <f t="shared" si="19"/>
        <v>9809.6539989899502</v>
      </c>
      <c r="AJ38" s="266">
        <f t="shared" si="20"/>
        <v>117715.8479878794</v>
      </c>
      <c r="AK38" s="45"/>
      <c r="AL38" s="266"/>
      <c r="AN38" s="241">
        <v>1</v>
      </c>
      <c r="AO38" s="240">
        <f t="shared" si="21"/>
        <v>9809.6539989899502</v>
      </c>
      <c r="AP38" s="241">
        <v>0</v>
      </c>
      <c r="AQ38" s="240">
        <f t="shared" si="22"/>
        <v>0</v>
      </c>
      <c r="AR38" s="241">
        <v>0</v>
      </c>
      <c r="AS38" s="240">
        <f t="shared" si="23"/>
        <v>0</v>
      </c>
      <c r="AT38" s="241">
        <v>0</v>
      </c>
      <c r="AU38" s="240">
        <f t="shared" si="3"/>
        <v>0</v>
      </c>
    </row>
    <row r="39" spans="2:47" s="253" customFormat="1" x14ac:dyDescent="0.2">
      <c r="B39" s="241" t="str">
        <f t="shared" si="5"/>
        <v>VancresidentialVRA64EOWCO</v>
      </c>
      <c r="C39" s="232" t="s">
        <v>743</v>
      </c>
      <c r="D39" s="232" t="s">
        <v>768</v>
      </c>
      <c r="E39" s="238">
        <v>48.65</v>
      </c>
      <c r="F39" s="238">
        <v>48.65</v>
      </c>
      <c r="G39" s="238">
        <v>51.99</v>
      </c>
      <c r="H39" s="261"/>
      <c r="I39" s="243">
        <v>48.65</v>
      </c>
      <c r="J39" s="243">
        <v>48.65</v>
      </c>
      <c r="K39" s="243">
        <v>48.65</v>
      </c>
      <c r="L39" s="243">
        <v>48.65</v>
      </c>
      <c r="M39" s="243">
        <v>48.65</v>
      </c>
      <c r="N39" s="243">
        <v>48.65</v>
      </c>
      <c r="O39" s="243">
        <v>48.65</v>
      </c>
      <c r="P39" s="243">
        <v>48.65</v>
      </c>
      <c r="Q39" s="243">
        <v>48.65</v>
      </c>
      <c r="R39" s="243">
        <v>51.99</v>
      </c>
      <c r="S39" s="243">
        <v>51.99</v>
      </c>
      <c r="T39" s="243">
        <v>51.99</v>
      </c>
      <c r="U39" s="263">
        <f t="shared" si="6"/>
        <v>593.81999999999994</v>
      </c>
      <c r="W39" s="264">
        <f t="shared" si="7"/>
        <v>1</v>
      </c>
      <c r="X39" s="264">
        <f t="shared" si="8"/>
        <v>1</v>
      </c>
      <c r="Y39" s="264">
        <f t="shared" si="9"/>
        <v>1</v>
      </c>
      <c r="Z39" s="264">
        <f t="shared" si="10"/>
        <v>1</v>
      </c>
      <c r="AA39" s="264">
        <f t="shared" si="11"/>
        <v>1</v>
      </c>
      <c r="AB39" s="264">
        <f t="shared" si="12"/>
        <v>1</v>
      </c>
      <c r="AC39" s="264">
        <f t="shared" si="13"/>
        <v>1</v>
      </c>
      <c r="AD39" s="264">
        <f t="shared" si="14"/>
        <v>1</v>
      </c>
      <c r="AE39" s="264">
        <f t="shared" si="15"/>
        <v>1</v>
      </c>
      <c r="AF39" s="264">
        <f t="shared" si="16"/>
        <v>1</v>
      </c>
      <c r="AG39" s="264">
        <f t="shared" si="17"/>
        <v>1</v>
      </c>
      <c r="AH39" s="264">
        <f t="shared" si="18"/>
        <v>1</v>
      </c>
      <c r="AI39" s="265">
        <f t="shared" si="19"/>
        <v>1</v>
      </c>
      <c r="AJ39" s="266">
        <f t="shared" si="20"/>
        <v>12</v>
      </c>
      <c r="AK39" s="45"/>
      <c r="AL39" s="266"/>
      <c r="AN39" s="241">
        <v>1</v>
      </c>
      <c r="AO39" s="240">
        <f t="shared" si="21"/>
        <v>1</v>
      </c>
      <c r="AP39" s="241">
        <v>0</v>
      </c>
      <c r="AQ39" s="240">
        <f t="shared" si="22"/>
        <v>0</v>
      </c>
      <c r="AR39" s="241">
        <v>0</v>
      </c>
      <c r="AS39" s="240">
        <f t="shared" si="23"/>
        <v>0</v>
      </c>
      <c r="AT39" s="241">
        <v>0</v>
      </c>
      <c r="AU39" s="240">
        <f t="shared" si="3"/>
        <v>0</v>
      </c>
    </row>
    <row r="40" spans="2:47" s="253" customFormat="1" x14ac:dyDescent="0.2">
      <c r="B40" s="241" t="str">
        <f t="shared" si="5"/>
        <v>VancresidentialVRA64WHEL</v>
      </c>
      <c r="C40" s="232" t="s">
        <v>744</v>
      </c>
      <c r="D40" s="232" t="s">
        <v>769</v>
      </c>
      <c r="E40" s="238">
        <v>45.78</v>
      </c>
      <c r="F40" s="238">
        <v>45.78</v>
      </c>
      <c r="G40" s="238">
        <v>48.92</v>
      </c>
      <c r="H40" s="261"/>
      <c r="I40" s="243">
        <v>320.45999999999998</v>
      </c>
      <c r="J40" s="243">
        <v>320.45999999999998</v>
      </c>
      <c r="K40" s="243">
        <v>320.45999999999998</v>
      </c>
      <c r="L40" s="243">
        <v>320.45999999999998</v>
      </c>
      <c r="M40" s="243">
        <v>320.45999999999998</v>
      </c>
      <c r="N40" s="243">
        <v>320.45999999999998</v>
      </c>
      <c r="O40" s="243">
        <v>320.45999999999998</v>
      </c>
      <c r="P40" s="243">
        <v>274.68</v>
      </c>
      <c r="Q40" s="243">
        <v>274.68</v>
      </c>
      <c r="R40" s="243">
        <v>293.52</v>
      </c>
      <c r="S40" s="243">
        <v>293.52</v>
      </c>
      <c r="T40" s="243">
        <v>250.715</v>
      </c>
      <c r="U40" s="263">
        <f t="shared" si="6"/>
        <v>3630.3349999999996</v>
      </c>
      <c r="W40" s="264">
        <f t="shared" si="7"/>
        <v>6.9999999999999991</v>
      </c>
      <c r="X40" s="264">
        <f t="shared" si="8"/>
        <v>6.9999999999999991</v>
      </c>
      <c r="Y40" s="264">
        <f t="shared" si="9"/>
        <v>6.9999999999999991</v>
      </c>
      <c r="Z40" s="264">
        <f t="shared" si="10"/>
        <v>6.9999999999999991</v>
      </c>
      <c r="AA40" s="264">
        <f t="shared" si="11"/>
        <v>6.9999999999999991</v>
      </c>
      <c r="AB40" s="264">
        <f t="shared" si="12"/>
        <v>6.9999999999999991</v>
      </c>
      <c r="AC40" s="264">
        <f t="shared" si="13"/>
        <v>6.9999999999999991</v>
      </c>
      <c r="AD40" s="264">
        <f t="shared" si="14"/>
        <v>6</v>
      </c>
      <c r="AE40" s="264">
        <f t="shared" si="15"/>
        <v>6</v>
      </c>
      <c r="AF40" s="264">
        <f t="shared" si="16"/>
        <v>5.9999999999999991</v>
      </c>
      <c r="AG40" s="264">
        <f t="shared" si="17"/>
        <v>5.9999999999999991</v>
      </c>
      <c r="AH40" s="264">
        <f t="shared" si="18"/>
        <v>5.125</v>
      </c>
      <c r="AI40" s="265">
        <f t="shared" si="19"/>
        <v>6.5104166666666652</v>
      </c>
      <c r="AJ40" s="266">
        <f t="shared" si="20"/>
        <v>78.124999999999986</v>
      </c>
      <c r="AK40" s="45"/>
      <c r="AL40" s="266"/>
      <c r="AN40" s="241">
        <v>1</v>
      </c>
      <c r="AO40" s="240">
        <f>+$AI40*AN40</f>
        <v>6.5104166666666652</v>
      </c>
      <c r="AP40" s="241">
        <v>0</v>
      </c>
      <c r="AQ40" s="240">
        <f>+$AI40*AP40</f>
        <v>0</v>
      </c>
      <c r="AR40" s="241">
        <v>0</v>
      </c>
      <c r="AS40" s="240">
        <f>+$AI40*AR40</f>
        <v>0</v>
      </c>
      <c r="AT40" s="241">
        <v>0</v>
      </c>
      <c r="AU40" s="240">
        <f t="shared" si="3"/>
        <v>0</v>
      </c>
    </row>
    <row r="41" spans="2:47" s="253" customFormat="1" x14ac:dyDescent="0.2">
      <c r="B41" s="241" t="str">
        <f t="shared" si="5"/>
        <v>VancresidentialVRA64WCO</v>
      </c>
      <c r="C41" s="232" t="s">
        <v>745</v>
      </c>
      <c r="D41" s="232" t="s">
        <v>770</v>
      </c>
      <c r="E41" s="238">
        <v>57.23</v>
      </c>
      <c r="F41" s="238">
        <v>57.23</v>
      </c>
      <c r="G41" s="238">
        <v>61.16</v>
      </c>
      <c r="H41" s="261"/>
      <c r="I41" s="243">
        <v>1030.5</v>
      </c>
      <c r="J41" s="243">
        <v>1030.5</v>
      </c>
      <c r="K41" s="243">
        <v>1030.5</v>
      </c>
      <c r="L41" s="243">
        <v>1066.28</v>
      </c>
      <c r="M41" s="243">
        <v>1066.28</v>
      </c>
      <c r="N41" s="243">
        <v>1159.31</v>
      </c>
      <c r="O41" s="243">
        <v>1044.81</v>
      </c>
      <c r="P41" s="243">
        <v>1001.875</v>
      </c>
      <c r="Q41" s="243">
        <v>1001.875</v>
      </c>
      <c r="R41" s="243">
        <v>1039.72</v>
      </c>
      <c r="S41" s="243">
        <v>1039.72</v>
      </c>
      <c r="T41" s="243">
        <v>955.625</v>
      </c>
      <c r="U41" s="263">
        <f t="shared" si="6"/>
        <v>12466.994999999997</v>
      </c>
      <c r="W41" s="264">
        <f t="shared" si="7"/>
        <v>18.006290407129129</v>
      </c>
      <c r="X41" s="264">
        <f t="shared" si="8"/>
        <v>18.006290407129129</v>
      </c>
      <c r="Y41" s="264">
        <f t="shared" si="9"/>
        <v>18.006290407129129</v>
      </c>
      <c r="Z41" s="264">
        <f t="shared" si="10"/>
        <v>18.631486982351912</v>
      </c>
      <c r="AA41" s="264">
        <f t="shared" si="11"/>
        <v>18.631486982351912</v>
      </c>
      <c r="AB41" s="264">
        <f t="shared" si="12"/>
        <v>20.25703302463743</v>
      </c>
      <c r="AC41" s="264">
        <f t="shared" si="13"/>
        <v>18.25633409051197</v>
      </c>
      <c r="AD41" s="264">
        <f t="shared" si="14"/>
        <v>17.506115673597765</v>
      </c>
      <c r="AE41" s="264">
        <f t="shared" si="15"/>
        <v>17.506115673597765</v>
      </c>
      <c r="AF41" s="264">
        <f t="shared" si="16"/>
        <v>17</v>
      </c>
      <c r="AG41" s="264">
        <f t="shared" si="17"/>
        <v>17</v>
      </c>
      <c r="AH41" s="264">
        <f t="shared" si="18"/>
        <v>15.625</v>
      </c>
      <c r="AI41" s="265">
        <f t="shared" si="19"/>
        <v>17.869370304036348</v>
      </c>
      <c r="AJ41" s="266">
        <f t="shared" si="20"/>
        <v>214.43244364843616</v>
      </c>
      <c r="AK41" s="45"/>
      <c r="AL41" s="266"/>
      <c r="AN41" s="241">
        <v>1</v>
      </c>
      <c r="AO41" s="240">
        <f>+$AI41*AN41</f>
        <v>17.869370304036348</v>
      </c>
      <c r="AP41" s="241">
        <v>0</v>
      </c>
      <c r="AQ41" s="240">
        <f>+$AI41*AP41</f>
        <v>0</v>
      </c>
      <c r="AR41" s="241">
        <v>0</v>
      </c>
      <c r="AS41" s="240">
        <f>+$AI41*AR41</f>
        <v>0</v>
      </c>
      <c r="AT41" s="241">
        <v>0</v>
      </c>
      <c r="AU41" s="240">
        <f t="shared" si="3"/>
        <v>0</v>
      </c>
    </row>
    <row r="42" spans="2:47" s="253" customFormat="1" x14ac:dyDescent="0.2">
      <c r="B42" s="241" t="str">
        <f t="shared" si="5"/>
        <v>VancresidentialVRA64EOW</v>
      </c>
      <c r="C42" s="232" t="s">
        <v>746</v>
      </c>
      <c r="D42" s="232" t="s">
        <v>771</v>
      </c>
      <c r="E42" s="238">
        <v>22.89</v>
      </c>
      <c r="F42" s="238">
        <v>22.89</v>
      </c>
      <c r="G42" s="238">
        <v>24.46</v>
      </c>
      <c r="H42" s="261"/>
      <c r="I42" s="243">
        <v>32944.615000000005</v>
      </c>
      <c r="J42" s="243">
        <v>33445.03</v>
      </c>
      <c r="K42" s="243">
        <v>33290.5</v>
      </c>
      <c r="L42" s="243">
        <v>34226.129999999997</v>
      </c>
      <c r="M42" s="243">
        <v>33785.449999999997</v>
      </c>
      <c r="N42" s="243">
        <v>34878.614999999998</v>
      </c>
      <c r="O42" s="243">
        <v>34489.474999999999</v>
      </c>
      <c r="P42" s="243">
        <v>35076.155000000006</v>
      </c>
      <c r="Q42" s="243">
        <v>34824.315000000002</v>
      </c>
      <c r="R42" s="243">
        <v>37841.145000000004</v>
      </c>
      <c r="S42" s="243">
        <v>37679.794999999998</v>
      </c>
      <c r="T42" s="243">
        <v>38866.934999999998</v>
      </c>
      <c r="U42" s="263">
        <f t="shared" si="6"/>
        <v>421348.16</v>
      </c>
      <c r="W42" s="264">
        <f t="shared" si="7"/>
        <v>1439.2579729139363</v>
      </c>
      <c r="X42" s="264">
        <f t="shared" si="8"/>
        <v>1461.1197029270422</v>
      </c>
      <c r="Y42" s="264">
        <f t="shared" si="9"/>
        <v>1454.3687199650501</v>
      </c>
      <c r="Z42" s="264">
        <f t="shared" si="10"/>
        <v>1495.2437745740497</v>
      </c>
      <c r="AA42" s="264">
        <f t="shared" si="11"/>
        <v>1475.9916994320663</v>
      </c>
      <c r="AB42" s="264">
        <f t="shared" si="12"/>
        <v>1523.7490170380077</v>
      </c>
      <c r="AC42" s="264">
        <f t="shared" si="13"/>
        <v>1506.7485801660112</v>
      </c>
      <c r="AD42" s="264">
        <f t="shared" si="14"/>
        <v>1532.3789864569683</v>
      </c>
      <c r="AE42" s="264">
        <f t="shared" si="15"/>
        <v>1521.3768020969856</v>
      </c>
      <c r="AF42" s="264">
        <f t="shared" si="16"/>
        <v>1547.0623466884711</v>
      </c>
      <c r="AG42" s="264">
        <f t="shared" si="17"/>
        <v>1540.4658626328699</v>
      </c>
      <c r="AH42" s="264">
        <f t="shared" si="18"/>
        <v>1588.9997955846279</v>
      </c>
      <c r="AI42" s="265">
        <f t="shared" si="19"/>
        <v>1507.2302717063405</v>
      </c>
      <c r="AJ42" s="266">
        <f t="shared" si="20"/>
        <v>18086.763260476087</v>
      </c>
      <c r="AK42" s="45"/>
      <c r="AL42" s="266"/>
      <c r="AN42" s="241">
        <v>1</v>
      </c>
      <c r="AO42" s="240">
        <f>+$AI42*AN42</f>
        <v>1507.2302717063405</v>
      </c>
      <c r="AP42" s="241">
        <v>0</v>
      </c>
      <c r="AQ42" s="240">
        <f>+$AI42*AP42</f>
        <v>0</v>
      </c>
      <c r="AR42" s="241">
        <v>0</v>
      </c>
      <c r="AS42" s="240">
        <f>+$AI42*AR42</f>
        <v>0</v>
      </c>
      <c r="AT42" s="241">
        <v>0</v>
      </c>
      <c r="AU42" s="240">
        <f t="shared" si="3"/>
        <v>0</v>
      </c>
    </row>
    <row r="43" spans="2:47" s="253" customFormat="1" x14ac:dyDescent="0.2">
      <c r="B43" s="241" t="str">
        <f t="shared" si="5"/>
        <v>VancresidentialVRA96WCO</v>
      </c>
      <c r="C43" s="232" t="s">
        <v>747</v>
      </c>
      <c r="D43" s="232" t="s">
        <v>772</v>
      </c>
      <c r="E43" s="238">
        <v>80.12</v>
      </c>
      <c r="F43" s="238">
        <v>80.12</v>
      </c>
      <c r="G43" s="238">
        <v>85.61</v>
      </c>
      <c r="H43" s="261"/>
      <c r="I43" s="243">
        <v>80.099999999999994</v>
      </c>
      <c r="J43" s="243">
        <v>120.15</v>
      </c>
      <c r="K43" s="243">
        <v>120.15</v>
      </c>
      <c r="L43" s="243">
        <v>370.46</v>
      </c>
      <c r="M43" s="243">
        <v>130.15999999999997</v>
      </c>
      <c r="N43" s="243">
        <v>240.3</v>
      </c>
      <c r="O43" s="243">
        <v>240.3</v>
      </c>
      <c r="P43" s="243">
        <v>240.3</v>
      </c>
      <c r="Q43" s="243">
        <v>240.3</v>
      </c>
      <c r="R43" s="243">
        <v>342.44</v>
      </c>
      <c r="S43" s="243">
        <v>342.44</v>
      </c>
      <c r="T43" s="243">
        <v>321.04000000000002</v>
      </c>
      <c r="U43" s="263">
        <f t="shared" si="6"/>
        <v>2788.14</v>
      </c>
      <c r="W43" s="264">
        <f t="shared" si="7"/>
        <v>0.99975037443834236</v>
      </c>
      <c r="X43" s="264">
        <f t="shared" si="8"/>
        <v>1.4996255616575138</v>
      </c>
      <c r="Y43" s="264">
        <f t="shared" si="9"/>
        <v>1.4996255616575138</v>
      </c>
      <c r="Z43" s="264">
        <f t="shared" si="10"/>
        <v>4.6238142785821266</v>
      </c>
      <c r="AA43" s="264">
        <f t="shared" si="11"/>
        <v>1.6245631552670989</v>
      </c>
      <c r="AB43" s="264">
        <f t="shared" si="12"/>
        <v>2.9992511233150276</v>
      </c>
      <c r="AC43" s="264">
        <f t="shared" si="13"/>
        <v>2.9992511233150276</v>
      </c>
      <c r="AD43" s="264">
        <f t="shared" si="14"/>
        <v>2.9992511233150276</v>
      </c>
      <c r="AE43" s="264">
        <f t="shared" si="15"/>
        <v>2.9992511233150276</v>
      </c>
      <c r="AF43" s="264">
        <f t="shared" si="16"/>
        <v>4</v>
      </c>
      <c r="AG43" s="264">
        <f t="shared" si="17"/>
        <v>4</v>
      </c>
      <c r="AH43" s="264">
        <f t="shared" si="18"/>
        <v>3.7500292021960053</v>
      </c>
      <c r="AI43" s="265">
        <f t="shared" si="19"/>
        <v>2.832867718921559</v>
      </c>
      <c r="AJ43" s="266">
        <f t="shared" si="20"/>
        <v>33.994412627058708</v>
      </c>
      <c r="AK43" s="45"/>
      <c r="AL43" s="266"/>
      <c r="AN43" s="241">
        <v>1</v>
      </c>
      <c r="AO43" s="240">
        <f>+$AI43*AN43</f>
        <v>2.832867718921559</v>
      </c>
      <c r="AP43" s="241">
        <v>0</v>
      </c>
      <c r="AQ43" s="240">
        <f>+$AI43*AP43</f>
        <v>0</v>
      </c>
      <c r="AR43" s="241">
        <v>0</v>
      </c>
      <c r="AS43" s="240">
        <f>+$AI43*AR43</f>
        <v>0</v>
      </c>
      <c r="AT43" s="241">
        <v>0</v>
      </c>
      <c r="AU43" s="240">
        <f t="shared" si="3"/>
        <v>0</v>
      </c>
    </row>
    <row r="44" spans="2:47" s="253" customFormat="1" x14ac:dyDescent="0.2">
      <c r="B44" s="241" t="str">
        <f t="shared" si="5"/>
        <v>VancresidentialVRA96W</v>
      </c>
      <c r="C44" s="232" t="s">
        <v>748</v>
      </c>
      <c r="D44" s="232" t="s">
        <v>773</v>
      </c>
      <c r="E44" s="238">
        <v>68.67</v>
      </c>
      <c r="F44" s="238">
        <v>68.67</v>
      </c>
      <c r="G44" s="238">
        <v>73.38</v>
      </c>
      <c r="H44" s="261"/>
      <c r="I44" s="243">
        <v>112714.11</v>
      </c>
      <c r="J44" s="243">
        <v>114274.98000000001</v>
      </c>
      <c r="K44" s="243">
        <v>113856.46</v>
      </c>
      <c r="L44" s="243">
        <v>116069.09999999999</v>
      </c>
      <c r="M44" s="243">
        <v>115519.64</v>
      </c>
      <c r="N44" s="243">
        <v>117597.27500000001</v>
      </c>
      <c r="O44" s="243">
        <v>116790.27500000001</v>
      </c>
      <c r="P44" s="243">
        <v>118327.09999999999</v>
      </c>
      <c r="Q44" s="243">
        <v>117674.66</v>
      </c>
      <c r="R44" s="243">
        <v>127269.155</v>
      </c>
      <c r="S44" s="243">
        <v>126023.765</v>
      </c>
      <c r="T44" s="243">
        <v>130055.87</v>
      </c>
      <c r="U44" s="263">
        <f t="shared" si="6"/>
        <v>1426172.3900000001</v>
      </c>
      <c r="W44" s="264">
        <f t="shared" si="7"/>
        <v>1641.3879423328965</v>
      </c>
      <c r="X44" s="264">
        <f t="shared" si="8"/>
        <v>1664.1179554390565</v>
      </c>
      <c r="Y44" s="264">
        <f t="shared" si="9"/>
        <v>1658.0232998398137</v>
      </c>
      <c r="Z44" s="264">
        <f t="shared" si="10"/>
        <v>1690.2446483180427</v>
      </c>
      <c r="AA44" s="264">
        <f t="shared" si="11"/>
        <v>1682.2431920780543</v>
      </c>
      <c r="AB44" s="264">
        <f t="shared" si="12"/>
        <v>1712.4985437600117</v>
      </c>
      <c r="AC44" s="264">
        <f t="shared" si="13"/>
        <v>1700.7466870540266</v>
      </c>
      <c r="AD44" s="264">
        <f t="shared" si="14"/>
        <v>1723.1265472549874</v>
      </c>
      <c r="AE44" s="264">
        <f t="shared" si="15"/>
        <v>1713.6254550749964</v>
      </c>
      <c r="AF44" s="264">
        <f t="shared" si="16"/>
        <v>1734.384777868629</v>
      </c>
      <c r="AG44" s="264">
        <f t="shared" si="17"/>
        <v>1717.4129871899702</v>
      </c>
      <c r="AH44" s="264">
        <f t="shared" si="18"/>
        <v>1772.3612701008449</v>
      </c>
      <c r="AI44" s="265">
        <f t="shared" si="19"/>
        <v>1700.8477755259444</v>
      </c>
      <c r="AJ44" s="266">
        <f>SUM(W44:AH44)</f>
        <v>20410.173306311332</v>
      </c>
      <c r="AK44" s="45"/>
      <c r="AL44" s="266"/>
      <c r="AN44" s="241">
        <v>1</v>
      </c>
      <c r="AO44" s="240">
        <f>+$AI44*AN44</f>
        <v>1700.8477755259444</v>
      </c>
      <c r="AP44" s="241">
        <v>0</v>
      </c>
      <c r="AQ44" s="240">
        <f>+$AI44*AP44</f>
        <v>0</v>
      </c>
      <c r="AR44" s="241">
        <v>0</v>
      </c>
      <c r="AS44" s="240">
        <f>+$AI44*AR44</f>
        <v>0</v>
      </c>
      <c r="AT44" s="241">
        <v>0</v>
      </c>
      <c r="AU44" s="240">
        <f t="shared" si="3"/>
        <v>0</v>
      </c>
    </row>
    <row r="45" spans="2:47" s="45" customFormat="1" x14ac:dyDescent="0.2">
      <c r="B45" s="1" t="str">
        <f>"Vanc"&amp;"residential Extras"&amp;C45</f>
        <v>Vancresidential ExtrasWBMISC</v>
      </c>
      <c r="C45" s="58" t="s">
        <v>75</v>
      </c>
      <c r="D45" s="58" t="s">
        <v>107</v>
      </c>
      <c r="E45" s="11">
        <v>18.34</v>
      </c>
      <c r="F45" s="11">
        <v>18.34</v>
      </c>
      <c r="G45" s="11">
        <v>19.32</v>
      </c>
      <c r="H45" s="55"/>
      <c r="I45" s="14">
        <v>2166.12</v>
      </c>
      <c r="J45" s="14">
        <v>2310.84</v>
      </c>
      <c r="K45" s="14">
        <v>2769.3399999999997</v>
      </c>
      <c r="L45" s="14">
        <v>2274.16</v>
      </c>
      <c r="M45" s="14">
        <v>3084.1800000000003</v>
      </c>
      <c r="N45" s="14">
        <v>2714.32</v>
      </c>
      <c r="O45" s="14">
        <v>3447.92</v>
      </c>
      <c r="P45" s="14">
        <v>2604.2799999999997</v>
      </c>
      <c r="Q45" s="14">
        <v>2769.34</v>
      </c>
      <c r="R45" s="14">
        <v>3738.36</v>
      </c>
      <c r="S45" s="14">
        <v>2589.8599999999997</v>
      </c>
      <c r="T45" s="14">
        <v>2530.92</v>
      </c>
      <c r="U45" s="73">
        <f t="shared" si="6"/>
        <v>32999.64</v>
      </c>
      <c r="W45" s="49">
        <f t="shared" si="7"/>
        <v>118.10905125408942</v>
      </c>
      <c r="X45" s="49">
        <f t="shared" si="8"/>
        <v>126.00000000000001</v>
      </c>
      <c r="Y45" s="49">
        <f t="shared" si="9"/>
        <v>150.99999999999997</v>
      </c>
      <c r="Z45" s="49">
        <f t="shared" si="10"/>
        <v>124</v>
      </c>
      <c r="AA45" s="49">
        <f t="shared" si="11"/>
        <v>168.16684841875684</v>
      </c>
      <c r="AB45" s="49">
        <f t="shared" si="12"/>
        <v>148</v>
      </c>
      <c r="AC45" s="49">
        <f t="shared" si="13"/>
        <v>188</v>
      </c>
      <c r="AD45" s="49">
        <f t="shared" si="14"/>
        <v>142</v>
      </c>
      <c r="AE45" s="49">
        <f t="shared" si="15"/>
        <v>151</v>
      </c>
      <c r="AF45" s="49">
        <f t="shared" si="16"/>
        <v>193.49689440993788</v>
      </c>
      <c r="AG45" s="49">
        <f t="shared" si="17"/>
        <v>134.05072463768113</v>
      </c>
      <c r="AH45" s="49">
        <f t="shared" si="18"/>
        <v>131</v>
      </c>
      <c r="AI45" s="47">
        <f t="shared" ref="AI45:AI68" si="24">+IFERROR(AVERAGE(W45:AH45),0)</f>
        <v>147.90195989337209</v>
      </c>
      <c r="AJ45" s="134">
        <f t="shared" ref="AJ45:AJ68" si="25">SUM(W45:AH45)</f>
        <v>1774.823518720465</v>
      </c>
      <c r="AL45" s="134"/>
    </row>
    <row r="46" spans="2:47" s="45" customFormat="1" ht="15" x14ac:dyDescent="0.25">
      <c r="B46" s="1" t="str">
        <f t="shared" ref="B46:B51" si="26">"Vanc"&amp;"residential extras"&amp;C46</f>
        <v>Vancresidential extrasWTTIRE</v>
      </c>
      <c r="C46" s="58" t="s">
        <v>398</v>
      </c>
      <c r="D46" s="58" t="s">
        <v>408</v>
      </c>
      <c r="E46" s="11">
        <v>25.99</v>
      </c>
      <c r="F46" s="11">
        <v>25.99</v>
      </c>
      <c r="G46" s="11">
        <v>27.38</v>
      </c>
      <c r="H46" s="55"/>
      <c r="I46" s="14">
        <v>51.98</v>
      </c>
      <c r="J46" s="14">
        <v>0</v>
      </c>
      <c r="K46" s="14">
        <v>25.99</v>
      </c>
      <c r="L46" s="14">
        <v>0</v>
      </c>
      <c r="M46" s="14">
        <v>0</v>
      </c>
      <c r="N46" s="14">
        <v>0</v>
      </c>
      <c r="O46" s="14">
        <v>103.96</v>
      </c>
      <c r="P46" s="14">
        <v>0</v>
      </c>
      <c r="Q46" s="14">
        <v>181.93</v>
      </c>
      <c r="R46" s="14">
        <v>0</v>
      </c>
      <c r="S46" s="14">
        <v>0</v>
      </c>
      <c r="T46" s="14">
        <v>27.38</v>
      </c>
      <c r="U46" s="73">
        <f t="shared" ref="U46:U51" si="27">SUM(I46:T46)</f>
        <v>391.24</v>
      </c>
      <c r="AI46" s="40"/>
      <c r="AJ46"/>
      <c r="AK46"/>
    </row>
    <row r="47" spans="2:47" s="45" customFormat="1" ht="15" x14ac:dyDescent="0.25">
      <c r="B47" s="1" t="str">
        <f t="shared" si="26"/>
        <v>Vancresidential extrasWCTIRE/RIM</v>
      </c>
      <c r="C47" s="58" t="s">
        <v>400</v>
      </c>
      <c r="D47" s="58" t="s">
        <v>410</v>
      </c>
      <c r="E47" s="11">
        <v>12.83</v>
      </c>
      <c r="F47" s="11">
        <v>12.83</v>
      </c>
      <c r="G47" s="11">
        <v>13.52</v>
      </c>
      <c r="H47" s="55"/>
      <c r="I47" s="14">
        <v>0</v>
      </c>
      <c r="J47" s="14">
        <v>89.81</v>
      </c>
      <c r="K47" s="14">
        <v>0</v>
      </c>
      <c r="L47" s="14">
        <v>0</v>
      </c>
      <c r="M47" s="14">
        <v>153.96</v>
      </c>
      <c r="N47" s="14">
        <v>12.83</v>
      </c>
      <c r="O47" s="14">
        <v>0</v>
      </c>
      <c r="P47" s="14">
        <v>51.32</v>
      </c>
      <c r="Q47" s="14">
        <v>12.83</v>
      </c>
      <c r="R47" s="14">
        <v>27.04</v>
      </c>
      <c r="S47" s="14">
        <v>202.8</v>
      </c>
      <c r="T47" s="14">
        <v>67.599999999999994</v>
      </c>
      <c r="U47" s="73">
        <f t="shared" si="27"/>
        <v>618.19000000000005</v>
      </c>
      <c r="AI47" s="40"/>
      <c r="AJ47"/>
      <c r="AK47"/>
    </row>
    <row r="48" spans="2:47" s="45" customFormat="1" ht="15" x14ac:dyDescent="0.25">
      <c r="B48" s="1" t="str">
        <f t="shared" si="26"/>
        <v>Vancresidential extrasWCTIRE</v>
      </c>
      <c r="C48" s="58" t="s">
        <v>401</v>
      </c>
      <c r="D48" s="58" t="s">
        <v>411</v>
      </c>
      <c r="E48" s="11">
        <v>8.2899999999999991</v>
      </c>
      <c r="F48" s="11">
        <v>8.2899999999999991</v>
      </c>
      <c r="G48" s="11">
        <v>8.73</v>
      </c>
      <c r="H48" s="55"/>
      <c r="I48" s="14">
        <v>24.87</v>
      </c>
      <c r="J48" s="14">
        <v>66.319999999999993</v>
      </c>
      <c r="K48" s="14">
        <v>107.77000000000001</v>
      </c>
      <c r="L48" s="14">
        <v>16.579999999999998</v>
      </c>
      <c r="M48" s="14">
        <v>82.9</v>
      </c>
      <c r="N48" s="14">
        <v>174.09</v>
      </c>
      <c r="O48" s="14">
        <v>16.579999999999998</v>
      </c>
      <c r="P48" s="14">
        <v>165.8</v>
      </c>
      <c r="Q48" s="14">
        <v>107.77000000000001</v>
      </c>
      <c r="R48" s="14">
        <v>104.32</v>
      </c>
      <c r="S48" s="14">
        <v>244.44</v>
      </c>
      <c r="T48" s="14">
        <v>250.08</v>
      </c>
      <c r="U48" s="73">
        <f t="shared" si="27"/>
        <v>1361.52</v>
      </c>
      <c r="AI48" s="40"/>
      <c r="AJ48"/>
      <c r="AK48"/>
    </row>
    <row r="49" spans="2:38" s="45" customFormat="1" ht="15" x14ac:dyDescent="0.25">
      <c r="B49" s="1" t="str">
        <f t="shared" si="26"/>
        <v>Vancresidential extrasWBWASHER</v>
      </c>
      <c r="C49" s="58" t="s">
        <v>402</v>
      </c>
      <c r="D49" s="58" t="s">
        <v>412</v>
      </c>
      <c r="E49" s="11">
        <v>21.05</v>
      </c>
      <c r="F49" s="11">
        <v>21.05</v>
      </c>
      <c r="G49" s="11">
        <v>22.18</v>
      </c>
      <c r="H49" s="55"/>
      <c r="I49" s="14">
        <v>231.55</v>
      </c>
      <c r="J49" s="14">
        <v>126.30000000000001</v>
      </c>
      <c r="K49" s="14">
        <v>147.35</v>
      </c>
      <c r="L49" s="14">
        <v>231.55</v>
      </c>
      <c r="M49" s="14">
        <v>421</v>
      </c>
      <c r="N49" s="14">
        <v>231.54999999999998</v>
      </c>
      <c r="O49" s="14">
        <v>147.35</v>
      </c>
      <c r="P49" s="14">
        <v>336.8</v>
      </c>
      <c r="Q49" s="14">
        <v>336.79999999999995</v>
      </c>
      <c r="R49" s="14">
        <v>324.79000000000002</v>
      </c>
      <c r="S49" s="14">
        <v>113.16</v>
      </c>
      <c r="T49" s="14">
        <v>288.34000000000003</v>
      </c>
      <c r="U49" s="73">
        <f t="shared" si="27"/>
        <v>2936.54</v>
      </c>
      <c r="AI49" s="40"/>
      <c r="AJ49"/>
      <c r="AK49"/>
    </row>
    <row r="50" spans="2:38" s="45" customFormat="1" ht="15" x14ac:dyDescent="0.25">
      <c r="B50" s="1" t="str">
        <f t="shared" si="26"/>
        <v>Vancresidential extrasWBWTRHTR</v>
      </c>
      <c r="C50" s="58" t="s">
        <v>403</v>
      </c>
      <c r="D50" s="58" t="s">
        <v>413</v>
      </c>
      <c r="E50" s="11">
        <v>21.4</v>
      </c>
      <c r="F50" s="11">
        <v>21.4</v>
      </c>
      <c r="G50" s="11">
        <v>22.55</v>
      </c>
      <c r="H50" s="55"/>
      <c r="I50" s="14">
        <v>21.4</v>
      </c>
      <c r="J50" s="14">
        <v>19.239999999999998</v>
      </c>
      <c r="K50" s="14">
        <v>21.4</v>
      </c>
      <c r="L50" s="14">
        <v>21.4</v>
      </c>
      <c r="M50" s="14">
        <v>0</v>
      </c>
      <c r="N50" s="14">
        <v>0</v>
      </c>
      <c r="O50" s="14">
        <v>0</v>
      </c>
      <c r="P50" s="14">
        <v>0</v>
      </c>
      <c r="Q50" s="14">
        <v>0</v>
      </c>
      <c r="R50" s="14">
        <v>22.55</v>
      </c>
      <c r="S50" s="14">
        <v>45.1</v>
      </c>
      <c r="T50" s="14">
        <v>0</v>
      </c>
      <c r="U50" s="73">
        <f t="shared" si="27"/>
        <v>151.09</v>
      </c>
      <c r="AI50" s="40"/>
      <c r="AJ50"/>
      <c r="AK50"/>
    </row>
    <row r="51" spans="2:38" s="45" customFormat="1" ht="15" x14ac:dyDescent="0.25">
      <c r="B51" s="1" t="str">
        <f t="shared" si="26"/>
        <v>Vancresidential extrasWBREFRIGE</v>
      </c>
      <c r="C51" s="58" t="s">
        <v>397</v>
      </c>
      <c r="D51" s="58" t="s">
        <v>407</v>
      </c>
      <c r="E51" s="11">
        <v>34.81</v>
      </c>
      <c r="F51" s="11">
        <v>34.81</v>
      </c>
      <c r="G51" s="11">
        <v>36.67</v>
      </c>
      <c r="H51" s="55"/>
      <c r="I51" s="14">
        <v>452.53000000000003</v>
      </c>
      <c r="J51" s="14">
        <v>417.72</v>
      </c>
      <c r="K51" s="14">
        <v>661.39</v>
      </c>
      <c r="L51" s="14">
        <v>522.15000000000009</v>
      </c>
      <c r="M51" s="14">
        <v>487.34000000000003</v>
      </c>
      <c r="N51" s="14">
        <v>1044.3</v>
      </c>
      <c r="O51" s="14">
        <v>626.57999999999993</v>
      </c>
      <c r="P51" s="14">
        <v>661.3900000000001</v>
      </c>
      <c r="Q51" s="14">
        <v>473.93</v>
      </c>
      <c r="R51" s="14">
        <v>403.37</v>
      </c>
      <c r="S51" s="14">
        <v>586.72</v>
      </c>
      <c r="T51" s="14">
        <v>586.71999999999991</v>
      </c>
      <c r="U51" s="73">
        <f t="shared" si="27"/>
        <v>6924.1400000000012</v>
      </c>
      <c r="AI51" s="40"/>
      <c r="AJ51"/>
      <c r="AK51"/>
    </row>
    <row r="52" spans="2:38" s="45" customFormat="1" x14ac:dyDescent="0.2">
      <c r="B52" s="1" t="str">
        <f t="shared" ref="B52:B66" si="28">"Vanc"&amp;"residential Extras"&amp;C52</f>
        <v>Vancresidential ExtrasWBCHAIR</v>
      </c>
      <c r="C52" s="58" t="s">
        <v>76</v>
      </c>
      <c r="D52" s="58" t="s">
        <v>108</v>
      </c>
      <c r="E52" s="11">
        <v>13.91</v>
      </c>
      <c r="F52" s="11">
        <v>13.91</v>
      </c>
      <c r="G52" s="11">
        <v>14.66</v>
      </c>
      <c r="H52" s="55"/>
      <c r="I52" s="14">
        <v>751.14</v>
      </c>
      <c r="J52" s="14">
        <v>709.41000000000008</v>
      </c>
      <c r="K52" s="14">
        <v>876.32999999999993</v>
      </c>
      <c r="L52" s="14">
        <v>570.30999999999995</v>
      </c>
      <c r="M52" s="14">
        <v>751.1400000000001</v>
      </c>
      <c r="N52" s="14">
        <v>890.24</v>
      </c>
      <c r="O52" s="14">
        <v>862.42</v>
      </c>
      <c r="P52" s="14">
        <v>959.79</v>
      </c>
      <c r="Q52" s="14">
        <v>987.6099999999999</v>
      </c>
      <c r="R52" s="14">
        <v>467.62</v>
      </c>
      <c r="S52" s="14">
        <v>571.74</v>
      </c>
      <c r="T52" s="14">
        <v>571.74</v>
      </c>
      <c r="U52" s="73">
        <f t="shared" si="6"/>
        <v>8969.49</v>
      </c>
      <c r="W52" s="49">
        <f t="shared" ref="W52:W66" si="29">IFERROR(I52/$E52,0)</f>
        <v>54</v>
      </c>
      <c r="X52" s="49">
        <f t="shared" ref="X52:X66" si="30">IFERROR(J52/$E52,0)</f>
        <v>51.000000000000007</v>
      </c>
      <c r="Y52" s="49">
        <f t="shared" ref="Y52:Y66" si="31">IFERROR(K52/$E52,0)</f>
        <v>62.999999999999993</v>
      </c>
      <c r="Z52" s="49">
        <f t="shared" ref="Z52:Z66" si="32">IFERROR(L52/$F52,0)</f>
        <v>40.999999999999993</v>
      </c>
      <c r="AA52" s="49">
        <f t="shared" ref="AA52:AA66" si="33">IFERROR(M52/$F52,0)</f>
        <v>54.000000000000007</v>
      </c>
      <c r="AB52" s="49">
        <f t="shared" ref="AB52:AB66" si="34">IFERROR(N52/$F52,0)</f>
        <v>64</v>
      </c>
      <c r="AC52" s="49">
        <f t="shared" ref="AC52:AC66" si="35">IFERROR(O52/$F52,0)</f>
        <v>61.999999999999993</v>
      </c>
      <c r="AD52" s="49">
        <f t="shared" ref="AD52:AD66" si="36">IFERROR(P52/$F52,0)</f>
        <v>69</v>
      </c>
      <c r="AE52" s="49">
        <f t="shared" ref="AE52:AE66" si="37">IFERROR(Q52/$F52,0)</f>
        <v>70.999999999999986</v>
      </c>
      <c r="AF52" s="49">
        <f t="shared" ref="AF52:AF66" si="38">IFERROR(R52/$G52,0)</f>
        <v>31.89768076398363</v>
      </c>
      <c r="AG52" s="49">
        <f t="shared" ref="AG52:AG66" si="39">IFERROR(S52/$G52,0)</f>
        <v>39</v>
      </c>
      <c r="AH52" s="49">
        <f t="shared" ref="AH52:AH66" si="40">IFERROR(T52/$G52,0)</f>
        <v>39</v>
      </c>
      <c r="AI52" s="47">
        <f t="shared" si="24"/>
        <v>53.241473396998636</v>
      </c>
      <c r="AJ52" s="134">
        <f t="shared" si="25"/>
        <v>638.89768076398366</v>
      </c>
      <c r="AL52" s="134"/>
    </row>
    <row r="53" spans="2:38" s="45" customFormat="1" x14ac:dyDescent="0.2">
      <c r="B53" s="1" t="str">
        <f t="shared" si="28"/>
        <v>Vancresidential ExtrasWBDRYER</v>
      </c>
      <c r="C53" s="58" t="s">
        <v>396</v>
      </c>
      <c r="D53" s="58" t="s">
        <v>406</v>
      </c>
      <c r="E53" s="11">
        <v>17.43</v>
      </c>
      <c r="F53" s="11">
        <v>17.43</v>
      </c>
      <c r="G53" s="11">
        <v>18.36</v>
      </c>
      <c r="H53" s="55"/>
      <c r="I53" s="14">
        <v>87.15</v>
      </c>
      <c r="J53" s="14">
        <v>139.44</v>
      </c>
      <c r="K53" s="14">
        <v>69.72</v>
      </c>
      <c r="L53" s="14">
        <v>87.15</v>
      </c>
      <c r="M53" s="14">
        <v>34.86</v>
      </c>
      <c r="N53" s="14">
        <v>122.01</v>
      </c>
      <c r="O53" s="14">
        <v>52.29</v>
      </c>
      <c r="P53" s="14">
        <v>104.58000000000001</v>
      </c>
      <c r="Q53" s="14">
        <v>122.01</v>
      </c>
      <c r="R53" s="14">
        <v>0</v>
      </c>
      <c r="S53" s="14">
        <v>128.51999999999998</v>
      </c>
      <c r="T53" s="14">
        <v>91.8</v>
      </c>
      <c r="U53" s="73">
        <f t="shared" si="6"/>
        <v>1039.53</v>
      </c>
      <c r="W53" s="49">
        <f t="shared" si="29"/>
        <v>5</v>
      </c>
      <c r="X53" s="49">
        <f t="shared" si="30"/>
        <v>8</v>
      </c>
      <c r="Y53" s="49">
        <f t="shared" si="31"/>
        <v>4</v>
      </c>
      <c r="Z53" s="49">
        <f t="shared" si="32"/>
        <v>5</v>
      </c>
      <c r="AA53" s="49">
        <f t="shared" si="33"/>
        <v>2</v>
      </c>
      <c r="AB53" s="49">
        <f t="shared" si="34"/>
        <v>7</v>
      </c>
      <c r="AC53" s="49">
        <f t="shared" si="35"/>
        <v>3</v>
      </c>
      <c r="AD53" s="49">
        <f t="shared" si="36"/>
        <v>6.0000000000000009</v>
      </c>
      <c r="AE53" s="49">
        <f t="shared" si="37"/>
        <v>7</v>
      </c>
      <c r="AF53" s="49">
        <f t="shared" si="38"/>
        <v>0</v>
      </c>
      <c r="AG53" s="49">
        <f t="shared" si="39"/>
        <v>6.9999999999999991</v>
      </c>
      <c r="AH53" s="49">
        <f t="shared" si="40"/>
        <v>5</v>
      </c>
      <c r="AI53" s="47">
        <f t="shared" si="24"/>
        <v>4.916666666666667</v>
      </c>
      <c r="AJ53" s="134">
        <f t="shared" si="25"/>
        <v>59</v>
      </c>
      <c r="AL53" s="134"/>
    </row>
    <row r="54" spans="2:38" s="45" customFormat="1" x14ac:dyDescent="0.2">
      <c r="B54" s="1" t="str">
        <f t="shared" si="28"/>
        <v>Vancresidential ExtrasRREXC</v>
      </c>
      <c r="C54" s="58" t="s">
        <v>59</v>
      </c>
      <c r="D54" s="58" t="s">
        <v>91</v>
      </c>
      <c r="E54" s="11">
        <v>9.02</v>
      </c>
      <c r="F54" s="11">
        <v>9.02</v>
      </c>
      <c r="G54" s="11">
        <v>9.64</v>
      </c>
      <c r="H54" s="55"/>
      <c r="I54" s="14">
        <v>33863.040000000001</v>
      </c>
      <c r="J54" s="14">
        <v>46841.95</v>
      </c>
      <c r="K54" s="14">
        <v>42584.84</v>
      </c>
      <c r="L54" s="14">
        <v>42619.5</v>
      </c>
      <c r="M54" s="14">
        <v>43990.539999999994</v>
      </c>
      <c r="N54" s="14">
        <v>42322.55</v>
      </c>
      <c r="O54" s="14">
        <v>36368.639999999999</v>
      </c>
      <c r="P54" s="14">
        <v>42493.93</v>
      </c>
      <c r="Q54" s="14">
        <v>38533.479999999996</v>
      </c>
      <c r="R54" s="14">
        <v>41352.879999999997</v>
      </c>
      <c r="S54" s="14">
        <v>37778.86</v>
      </c>
      <c r="T54" s="14">
        <v>40666.75</v>
      </c>
      <c r="U54" s="73">
        <f t="shared" si="6"/>
        <v>489416.95999999996</v>
      </c>
      <c r="W54" s="49">
        <f t="shared" si="29"/>
        <v>3754.217294900222</v>
      </c>
      <c r="X54" s="49">
        <f t="shared" si="30"/>
        <v>5193.1208425720624</v>
      </c>
      <c r="Y54" s="49">
        <f t="shared" si="31"/>
        <v>4721.1574279379156</v>
      </c>
      <c r="Z54" s="49">
        <f t="shared" si="32"/>
        <v>4725</v>
      </c>
      <c r="AA54" s="49">
        <f t="shared" si="33"/>
        <v>4876.9999999999991</v>
      </c>
      <c r="AB54" s="49">
        <f t="shared" si="34"/>
        <v>4692.0787139689583</v>
      </c>
      <c r="AC54" s="49">
        <f t="shared" si="35"/>
        <v>4032</v>
      </c>
      <c r="AD54" s="49">
        <f t="shared" si="36"/>
        <v>4711.0787139689583</v>
      </c>
      <c r="AE54" s="49">
        <f t="shared" si="37"/>
        <v>4272.0044345898004</v>
      </c>
      <c r="AF54" s="49">
        <f t="shared" si="38"/>
        <v>4289.717842323651</v>
      </c>
      <c r="AG54" s="49">
        <f t="shared" si="39"/>
        <v>3918.9688796680498</v>
      </c>
      <c r="AH54" s="49">
        <f t="shared" si="40"/>
        <v>4218.5425311203317</v>
      </c>
      <c r="AI54" s="47">
        <f t="shared" si="24"/>
        <v>4450.4072234208279</v>
      </c>
      <c r="AJ54" s="134">
        <f t="shared" si="25"/>
        <v>53404.886681049938</v>
      </c>
      <c r="AL54" s="134"/>
    </row>
    <row r="55" spans="2:38" s="45" customFormat="1" x14ac:dyDescent="0.2">
      <c r="B55" s="1" t="str">
        <f t="shared" si="28"/>
        <v>Vancresidential ExtrasWBMATT</v>
      </c>
      <c r="C55" s="58" t="s">
        <v>78</v>
      </c>
      <c r="D55" s="58" t="s">
        <v>110</v>
      </c>
      <c r="E55" s="11">
        <v>15.76</v>
      </c>
      <c r="F55" s="11">
        <v>15.76</v>
      </c>
      <c r="G55" s="11">
        <v>16.600000000000001</v>
      </c>
      <c r="H55" s="55"/>
      <c r="I55" s="14">
        <v>1877.8</v>
      </c>
      <c r="J55" s="14">
        <v>1108.53</v>
      </c>
      <c r="K55" s="14">
        <v>2442.8000000000002</v>
      </c>
      <c r="L55" s="14">
        <v>1796.64</v>
      </c>
      <c r="M55" s="14">
        <v>1970</v>
      </c>
      <c r="N55" s="14">
        <v>2758</v>
      </c>
      <c r="O55" s="14">
        <v>1985.76</v>
      </c>
      <c r="P55" s="14">
        <v>1323.84</v>
      </c>
      <c r="Q55" s="14">
        <v>1796.6399999999999</v>
      </c>
      <c r="R55" s="14">
        <v>1947.04</v>
      </c>
      <c r="S55" s="14">
        <v>2523.1999999999998</v>
      </c>
      <c r="T55" s="14">
        <v>2025.1999999999998</v>
      </c>
      <c r="U55" s="73">
        <f t="shared" si="6"/>
        <v>23555.450000000004</v>
      </c>
      <c r="W55" s="49">
        <f t="shared" si="29"/>
        <v>119.1497461928934</v>
      </c>
      <c r="X55" s="49">
        <f t="shared" si="30"/>
        <v>70.338197969543145</v>
      </c>
      <c r="Y55" s="49">
        <f t="shared" si="31"/>
        <v>155</v>
      </c>
      <c r="Z55" s="49">
        <f t="shared" si="32"/>
        <v>114.00000000000001</v>
      </c>
      <c r="AA55" s="49">
        <f t="shared" si="33"/>
        <v>125</v>
      </c>
      <c r="AB55" s="49">
        <f t="shared" si="34"/>
        <v>175</v>
      </c>
      <c r="AC55" s="49">
        <f t="shared" si="35"/>
        <v>126</v>
      </c>
      <c r="AD55" s="49">
        <f t="shared" si="36"/>
        <v>84</v>
      </c>
      <c r="AE55" s="49">
        <f t="shared" si="37"/>
        <v>114</v>
      </c>
      <c r="AF55" s="49">
        <f t="shared" si="38"/>
        <v>117.29156626506023</v>
      </c>
      <c r="AG55" s="49">
        <f t="shared" si="39"/>
        <v>151.99999999999997</v>
      </c>
      <c r="AH55" s="49">
        <f t="shared" si="40"/>
        <v>121.99999999999997</v>
      </c>
      <c r="AI55" s="47">
        <f t="shared" si="24"/>
        <v>122.8149592022914</v>
      </c>
      <c r="AJ55" s="134">
        <f t="shared" si="25"/>
        <v>1473.7795104274969</v>
      </c>
      <c r="AL55" s="134"/>
    </row>
    <row r="56" spans="2:38" s="45" customFormat="1" x14ac:dyDescent="0.2">
      <c r="B56" s="1" t="str">
        <f t="shared" si="28"/>
        <v>Vancresidential ExtrasRRCALL</v>
      </c>
      <c r="C56" s="58" t="s">
        <v>60</v>
      </c>
      <c r="D56" s="58" t="s">
        <v>92</v>
      </c>
      <c r="E56" s="11">
        <v>5.15</v>
      </c>
      <c r="F56" s="11">
        <v>5.15</v>
      </c>
      <c r="G56" s="11">
        <v>11.01</v>
      </c>
      <c r="H56" s="55"/>
      <c r="I56" s="14">
        <v>41.2</v>
      </c>
      <c r="J56" s="14">
        <v>41.2</v>
      </c>
      <c r="K56" s="14">
        <v>-133.9</v>
      </c>
      <c r="L56" s="14">
        <v>0</v>
      </c>
      <c r="M56" s="14">
        <v>0</v>
      </c>
      <c r="N56" s="14">
        <v>0</v>
      </c>
      <c r="O56" s="14">
        <v>0</v>
      </c>
      <c r="P56" s="14">
        <v>0</v>
      </c>
      <c r="Q56" s="14">
        <v>0</v>
      </c>
      <c r="R56" s="14">
        <v>0</v>
      </c>
      <c r="S56" s="14">
        <v>0</v>
      </c>
      <c r="T56" s="14">
        <v>44.04</v>
      </c>
      <c r="U56" s="73">
        <f t="shared" si="6"/>
        <v>-7.4600000000000009</v>
      </c>
      <c r="W56" s="49">
        <f t="shared" si="29"/>
        <v>8</v>
      </c>
      <c r="X56" s="49">
        <f t="shared" si="30"/>
        <v>8</v>
      </c>
      <c r="Y56" s="49">
        <f t="shared" si="31"/>
        <v>-26</v>
      </c>
      <c r="Z56" s="49">
        <f t="shared" si="32"/>
        <v>0</v>
      </c>
      <c r="AA56" s="49">
        <f t="shared" si="33"/>
        <v>0</v>
      </c>
      <c r="AB56" s="49">
        <f t="shared" si="34"/>
        <v>0</v>
      </c>
      <c r="AC56" s="49">
        <f t="shared" si="35"/>
        <v>0</v>
      </c>
      <c r="AD56" s="49">
        <f t="shared" si="36"/>
        <v>0</v>
      </c>
      <c r="AE56" s="49">
        <f t="shared" si="37"/>
        <v>0</v>
      </c>
      <c r="AF56" s="49">
        <f t="shared" si="38"/>
        <v>0</v>
      </c>
      <c r="AG56" s="49">
        <f t="shared" si="39"/>
        <v>0</v>
      </c>
      <c r="AH56" s="49">
        <f t="shared" si="40"/>
        <v>4</v>
      </c>
      <c r="AI56" s="47">
        <f t="shared" si="24"/>
        <v>-0.5</v>
      </c>
      <c r="AJ56" s="134">
        <f t="shared" si="25"/>
        <v>-6</v>
      </c>
      <c r="AL56" s="134"/>
    </row>
    <row r="57" spans="2:38" s="45" customFormat="1" x14ac:dyDescent="0.2">
      <c r="B57" s="1" t="str">
        <f>"Vanc"&amp;"residential"&amp;C57</f>
        <v>VancresidentialCRACC</v>
      </c>
      <c r="C57" s="58" t="s">
        <v>1211</v>
      </c>
      <c r="D57" s="58" t="s">
        <v>1212</v>
      </c>
      <c r="E57" s="11">
        <v>18.965</v>
      </c>
      <c r="F57" s="11">
        <v>18.965</v>
      </c>
      <c r="G57" s="11">
        <v>39.92</v>
      </c>
      <c r="H57" s="55"/>
      <c r="I57" s="14">
        <v>0</v>
      </c>
      <c r="J57" s="14">
        <v>37.93</v>
      </c>
      <c r="K57" s="14">
        <v>0</v>
      </c>
      <c r="L57" s="14">
        <v>37.93</v>
      </c>
      <c r="M57" s="14">
        <v>0</v>
      </c>
      <c r="N57" s="14">
        <v>37.93</v>
      </c>
      <c r="O57" s="14">
        <v>0</v>
      </c>
      <c r="P57" s="14">
        <v>37.93</v>
      </c>
      <c r="Q57" s="14">
        <v>0</v>
      </c>
      <c r="R57" s="14">
        <v>39.92</v>
      </c>
      <c r="S57" s="14">
        <v>0</v>
      </c>
      <c r="T57" s="14">
        <v>39.92</v>
      </c>
      <c r="U57" s="73">
        <f t="shared" si="6"/>
        <v>231.56</v>
      </c>
      <c r="W57" s="49">
        <f t="shared" si="29"/>
        <v>0</v>
      </c>
      <c r="X57" s="49">
        <f t="shared" si="30"/>
        <v>2</v>
      </c>
      <c r="Y57" s="49">
        <f t="shared" si="31"/>
        <v>0</v>
      </c>
      <c r="Z57" s="49">
        <f t="shared" si="32"/>
        <v>2</v>
      </c>
      <c r="AA57" s="49">
        <f t="shared" si="33"/>
        <v>0</v>
      </c>
      <c r="AB57" s="49">
        <f t="shared" si="34"/>
        <v>2</v>
      </c>
      <c r="AC57" s="49">
        <f t="shared" si="35"/>
        <v>0</v>
      </c>
      <c r="AD57" s="49">
        <f t="shared" si="36"/>
        <v>2</v>
      </c>
      <c r="AE57" s="49">
        <f t="shared" si="37"/>
        <v>0</v>
      </c>
      <c r="AF57" s="49">
        <f t="shared" si="38"/>
        <v>1</v>
      </c>
      <c r="AG57" s="49">
        <f t="shared" si="39"/>
        <v>0</v>
      </c>
      <c r="AH57" s="49">
        <f t="shared" si="40"/>
        <v>1</v>
      </c>
      <c r="AI57" s="47">
        <f t="shared" si="24"/>
        <v>0.83333333333333337</v>
      </c>
      <c r="AJ57" s="134">
        <f t="shared" si="25"/>
        <v>10</v>
      </c>
      <c r="AL57" s="134"/>
    </row>
    <row r="58" spans="2:38" s="45" customFormat="1" x14ac:dyDescent="0.2">
      <c r="B58" s="1" t="str">
        <f t="shared" si="28"/>
        <v>Vancresidential ExtrasCOFOW</v>
      </c>
      <c r="C58" s="58" t="s">
        <v>676</v>
      </c>
      <c r="D58" s="58" t="s">
        <v>93</v>
      </c>
      <c r="E58" s="11">
        <v>9.02</v>
      </c>
      <c r="F58" s="11">
        <v>9.02</v>
      </c>
      <c r="G58" s="11">
        <v>9.64</v>
      </c>
      <c r="H58" s="55"/>
      <c r="I58" s="14">
        <v>559.24</v>
      </c>
      <c r="J58" s="14">
        <v>748.66</v>
      </c>
      <c r="K58" s="14">
        <v>324.72000000000003</v>
      </c>
      <c r="L58" s="14">
        <v>207.46</v>
      </c>
      <c r="M58" s="14">
        <v>0</v>
      </c>
      <c r="N58" s="14">
        <v>297.66000000000003</v>
      </c>
      <c r="O58" s="14">
        <v>189.42</v>
      </c>
      <c r="P58" s="14">
        <v>390.74</v>
      </c>
      <c r="Q58" s="14">
        <v>496.1</v>
      </c>
      <c r="R58" s="14">
        <v>212.08</v>
      </c>
      <c r="S58" s="14">
        <v>308.48</v>
      </c>
      <c r="T58" s="14">
        <v>134.96</v>
      </c>
      <c r="U58" s="73">
        <f t="shared" si="6"/>
        <v>3869.5200000000004</v>
      </c>
      <c r="W58" s="49">
        <f t="shared" si="29"/>
        <v>62.000000000000007</v>
      </c>
      <c r="X58" s="49">
        <f t="shared" si="30"/>
        <v>83</v>
      </c>
      <c r="Y58" s="49">
        <f t="shared" si="31"/>
        <v>36.000000000000007</v>
      </c>
      <c r="Z58" s="49">
        <f t="shared" si="32"/>
        <v>23.000000000000004</v>
      </c>
      <c r="AA58" s="49">
        <f t="shared" si="33"/>
        <v>0</v>
      </c>
      <c r="AB58" s="49">
        <f t="shared" si="34"/>
        <v>33.000000000000007</v>
      </c>
      <c r="AC58" s="49">
        <f t="shared" si="35"/>
        <v>21</v>
      </c>
      <c r="AD58" s="49">
        <f t="shared" si="36"/>
        <v>43.31929046563193</v>
      </c>
      <c r="AE58" s="49">
        <f t="shared" si="37"/>
        <v>55.000000000000007</v>
      </c>
      <c r="AF58" s="49">
        <f t="shared" si="38"/>
        <v>22</v>
      </c>
      <c r="AG58" s="49">
        <f t="shared" si="39"/>
        <v>32</v>
      </c>
      <c r="AH58" s="49">
        <f t="shared" si="40"/>
        <v>14</v>
      </c>
      <c r="AI58" s="47">
        <f t="shared" si="24"/>
        <v>35.359940872135994</v>
      </c>
      <c r="AJ58" s="134">
        <f t="shared" si="25"/>
        <v>424.31929046563192</v>
      </c>
      <c r="AL58" s="134"/>
    </row>
    <row r="59" spans="2:38" s="45" customFormat="1" x14ac:dyDescent="0.2">
      <c r="B59" s="1" t="str">
        <f t="shared" si="28"/>
        <v>Vancresidential ExtrasROFOW</v>
      </c>
      <c r="C59" s="58" t="s">
        <v>61</v>
      </c>
      <c r="D59" s="58" t="s">
        <v>93</v>
      </c>
      <c r="E59" s="11">
        <v>9.02</v>
      </c>
      <c r="F59" s="11">
        <v>9.02</v>
      </c>
      <c r="G59" s="11">
        <v>9.64</v>
      </c>
      <c r="H59" s="55"/>
      <c r="I59" s="14">
        <v>11207.1</v>
      </c>
      <c r="J59" s="14">
        <v>16082.660000000002</v>
      </c>
      <c r="K59" s="14">
        <v>15469.27</v>
      </c>
      <c r="L59" s="14">
        <v>13006.84</v>
      </c>
      <c r="M59" s="14">
        <v>11680.9</v>
      </c>
      <c r="N59" s="14">
        <v>9525.1200000000008</v>
      </c>
      <c r="O59" s="14">
        <v>8532.92</v>
      </c>
      <c r="P59" s="14">
        <v>14783.78</v>
      </c>
      <c r="Q59" s="14">
        <v>11509.51</v>
      </c>
      <c r="R59" s="14">
        <v>10211.26</v>
      </c>
      <c r="S59" s="14">
        <v>7145.3799999999992</v>
      </c>
      <c r="T59" s="14">
        <v>8071.16</v>
      </c>
      <c r="U59" s="73">
        <f t="shared" si="6"/>
        <v>137225.89999999997</v>
      </c>
      <c r="W59" s="49">
        <f t="shared" si="29"/>
        <v>1242.4722838137473</v>
      </c>
      <c r="X59" s="49">
        <f t="shared" si="30"/>
        <v>1783.0000000000002</v>
      </c>
      <c r="Y59" s="49">
        <f t="shared" si="31"/>
        <v>1714.9966740576499</v>
      </c>
      <c r="Z59" s="49">
        <f t="shared" si="32"/>
        <v>1442</v>
      </c>
      <c r="AA59" s="49">
        <f t="shared" si="33"/>
        <v>1295</v>
      </c>
      <c r="AB59" s="49">
        <f t="shared" si="34"/>
        <v>1056.0000000000002</v>
      </c>
      <c r="AC59" s="49">
        <f t="shared" si="35"/>
        <v>946</v>
      </c>
      <c r="AD59" s="49">
        <f t="shared" si="36"/>
        <v>1639.0000000000002</v>
      </c>
      <c r="AE59" s="49">
        <f t="shared" si="37"/>
        <v>1275.9988913525499</v>
      </c>
      <c r="AF59" s="49">
        <f t="shared" si="38"/>
        <v>1059.259336099585</v>
      </c>
      <c r="AG59" s="49">
        <f t="shared" si="39"/>
        <v>741.22199170124463</v>
      </c>
      <c r="AH59" s="49">
        <f t="shared" si="40"/>
        <v>837.25726141078837</v>
      </c>
      <c r="AI59" s="47">
        <f t="shared" si="24"/>
        <v>1252.6838698696306</v>
      </c>
      <c r="AJ59" s="134">
        <f t="shared" si="25"/>
        <v>15032.206438435567</v>
      </c>
      <c r="AL59" s="134"/>
    </row>
    <row r="60" spans="2:38" s="45" customFormat="1" x14ac:dyDescent="0.2">
      <c r="B60" s="1" t="str">
        <f t="shared" si="28"/>
        <v>Vancresidential ExtrasWBSOFA</v>
      </c>
      <c r="C60" s="58" t="s">
        <v>77</v>
      </c>
      <c r="D60" s="58" t="s">
        <v>109</v>
      </c>
      <c r="E60" s="11">
        <v>17.43</v>
      </c>
      <c r="F60" s="11">
        <v>17.43</v>
      </c>
      <c r="G60" s="11">
        <v>18.36</v>
      </c>
      <c r="H60" s="55"/>
      <c r="I60" s="14">
        <v>1167.81</v>
      </c>
      <c r="J60" s="14">
        <v>1185.24</v>
      </c>
      <c r="K60" s="14">
        <v>1132.95</v>
      </c>
      <c r="L60" s="14">
        <v>784.34999999999991</v>
      </c>
      <c r="M60" s="14">
        <v>819.21</v>
      </c>
      <c r="N60" s="14">
        <v>1411.83</v>
      </c>
      <c r="O60" s="14">
        <v>749.49</v>
      </c>
      <c r="P60" s="14">
        <v>1028.3699999999999</v>
      </c>
      <c r="Q60" s="14">
        <v>941.22</v>
      </c>
      <c r="R60" s="14">
        <v>1076.73</v>
      </c>
      <c r="S60" s="14">
        <v>807.83999999999992</v>
      </c>
      <c r="T60" s="14">
        <v>1064.8800000000001</v>
      </c>
      <c r="U60" s="73">
        <f t="shared" si="6"/>
        <v>12169.919999999998</v>
      </c>
      <c r="W60" s="49">
        <f t="shared" si="29"/>
        <v>67</v>
      </c>
      <c r="X60" s="49">
        <f t="shared" si="30"/>
        <v>68</v>
      </c>
      <c r="Y60" s="49">
        <f t="shared" si="31"/>
        <v>65</v>
      </c>
      <c r="Z60" s="49">
        <f t="shared" si="32"/>
        <v>44.999999999999993</v>
      </c>
      <c r="AA60" s="49">
        <f t="shared" si="33"/>
        <v>47</v>
      </c>
      <c r="AB60" s="49">
        <f t="shared" si="34"/>
        <v>81</v>
      </c>
      <c r="AC60" s="49">
        <f t="shared" si="35"/>
        <v>43</v>
      </c>
      <c r="AD60" s="49">
        <f t="shared" si="36"/>
        <v>58.999999999999993</v>
      </c>
      <c r="AE60" s="49">
        <f t="shared" si="37"/>
        <v>54</v>
      </c>
      <c r="AF60" s="49">
        <f t="shared" si="38"/>
        <v>58.645424836601308</v>
      </c>
      <c r="AG60" s="49">
        <f t="shared" si="39"/>
        <v>44</v>
      </c>
      <c r="AH60" s="49">
        <f t="shared" si="40"/>
        <v>58.000000000000007</v>
      </c>
      <c r="AI60" s="47">
        <f t="shared" si="24"/>
        <v>57.470452069716771</v>
      </c>
      <c r="AJ60" s="134">
        <f t="shared" si="25"/>
        <v>689.64542483660125</v>
      </c>
      <c r="AL60" s="134"/>
    </row>
    <row r="61" spans="2:38" s="45" customFormat="1" x14ac:dyDescent="0.2">
      <c r="B61" s="1" t="str">
        <f t="shared" si="28"/>
        <v>Vancresidential ExtrasWBSTOVE</v>
      </c>
      <c r="C61" s="58" t="s">
        <v>749</v>
      </c>
      <c r="D61" s="58" t="s">
        <v>774</v>
      </c>
      <c r="E61" s="11">
        <v>19.25</v>
      </c>
      <c r="F61" s="11">
        <v>19.25</v>
      </c>
      <c r="G61" s="11">
        <v>20.28</v>
      </c>
      <c r="H61" s="55"/>
      <c r="I61" s="14">
        <v>19.25</v>
      </c>
      <c r="J61" s="14">
        <v>77</v>
      </c>
      <c r="K61" s="14">
        <v>57.75</v>
      </c>
      <c r="L61" s="14">
        <v>38.5</v>
      </c>
      <c r="M61" s="14">
        <v>38.5</v>
      </c>
      <c r="N61" s="14">
        <v>19.25</v>
      </c>
      <c r="O61" s="14">
        <v>57.75</v>
      </c>
      <c r="P61" s="14">
        <v>77</v>
      </c>
      <c r="Q61" s="14">
        <v>57.75</v>
      </c>
      <c r="R61" s="14">
        <v>20.28</v>
      </c>
      <c r="S61" s="14">
        <v>40.56</v>
      </c>
      <c r="T61" s="14">
        <v>60.84</v>
      </c>
      <c r="U61" s="73">
        <f t="shared" si="6"/>
        <v>564.42999999999995</v>
      </c>
      <c r="W61" s="49">
        <f t="shared" si="29"/>
        <v>1</v>
      </c>
      <c r="X61" s="49">
        <f t="shared" si="30"/>
        <v>4</v>
      </c>
      <c r="Y61" s="49">
        <f t="shared" si="31"/>
        <v>3</v>
      </c>
      <c r="Z61" s="49">
        <f t="shared" si="32"/>
        <v>2</v>
      </c>
      <c r="AA61" s="49">
        <f t="shared" si="33"/>
        <v>2</v>
      </c>
      <c r="AB61" s="49">
        <f t="shared" si="34"/>
        <v>1</v>
      </c>
      <c r="AC61" s="49">
        <f t="shared" si="35"/>
        <v>3</v>
      </c>
      <c r="AD61" s="49">
        <f t="shared" si="36"/>
        <v>4</v>
      </c>
      <c r="AE61" s="49">
        <f t="shared" si="37"/>
        <v>3</v>
      </c>
      <c r="AF61" s="49">
        <f t="shared" si="38"/>
        <v>1</v>
      </c>
      <c r="AG61" s="49">
        <f t="shared" si="39"/>
        <v>2</v>
      </c>
      <c r="AH61" s="49">
        <f t="shared" si="40"/>
        <v>3</v>
      </c>
      <c r="AI61" s="47">
        <f t="shared" si="24"/>
        <v>2.4166666666666665</v>
      </c>
      <c r="AJ61" s="134">
        <f t="shared" si="25"/>
        <v>29</v>
      </c>
      <c r="AL61" s="134"/>
    </row>
    <row r="62" spans="2:38" s="45" customFormat="1" x14ac:dyDescent="0.2">
      <c r="B62" s="1" t="str">
        <f t="shared" si="28"/>
        <v>Vancresidential ExtrasCRTIME1</v>
      </c>
      <c r="C62" s="58" t="s">
        <v>70</v>
      </c>
      <c r="D62" s="58" t="s">
        <v>102</v>
      </c>
      <c r="E62" s="11">
        <v>2.08</v>
      </c>
      <c r="F62" s="11">
        <v>2.08</v>
      </c>
      <c r="G62" s="11">
        <v>2.19</v>
      </c>
      <c r="H62" s="55"/>
      <c r="I62" s="14">
        <v>0</v>
      </c>
      <c r="J62" s="14">
        <v>0</v>
      </c>
      <c r="K62" s="14">
        <v>0</v>
      </c>
      <c r="L62" s="14">
        <v>0</v>
      </c>
      <c r="M62" s="14">
        <v>93.6</v>
      </c>
      <c r="N62" s="14">
        <v>249.6</v>
      </c>
      <c r="O62" s="14">
        <v>-124.8</v>
      </c>
      <c r="P62" s="14">
        <v>0</v>
      </c>
      <c r="Q62" s="14">
        <v>0</v>
      </c>
      <c r="R62" s="14">
        <v>0</v>
      </c>
      <c r="S62" s="14">
        <v>0</v>
      </c>
      <c r="T62" s="14">
        <v>0</v>
      </c>
      <c r="U62" s="73">
        <f t="shared" si="6"/>
        <v>218.39999999999998</v>
      </c>
      <c r="W62" s="49">
        <f t="shared" si="29"/>
        <v>0</v>
      </c>
      <c r="X62" s="49">
        <f t="shared" si="30"/>
        <v>0</v>
      </c>
      <c r="Y62" s="49">
        <f t="shared" si="31"/>
        <v>0</v>
      </c>
      <c r="Z62" s="49">
        <f t="shared" si="32"/>
        <v>0</v>
      </c>
      <c r="AA62" s="49">
        <f t="shared" si="33"/>
        <v>44.999999999999993</v>
      </c>
      <c r="AB62" s="49">
        <f t="shared" si="34"/>
        <v>120</v>
      </c>
      <c r="AC62" s="49">
        <f t="shared" si="35"/>
        <v>-60</v>
      </c>
      <c r="AD62" s="49">
        <f t="shared" si="36"/>
        <v>0</v>
      </c>
      <c r="AE62" s="49">
        <f t="shared" si="37"/>
        <v>0</v>
      </c>
      <c r="AF62" s="49">
        <f t="shared" si="38"/>
        <v>0</v>
      </c>
      <c r="AG62" s="49">
        <f t="shared" si="39"/>
        <v>0</v>
      </c>
      <c r="AH62" s="49">
        <f t="shared" si="40"/>
        <v>0</v>
      </c>
      <c r="AI62" s="47">
        <f t="shared" si="24"/>
        <v>8.75</v>
      </c>
      <c r="AJ62" s="134">
        <f t="shared" si="25"/>
        <v>105</v>
      </c>
      <c r="AL62" s="134"/>
    </row>
    <row r="63" spans="2:38" s="45" customFormat="1" x14ac:dyDescent="0.2">
      <c r="B63" s="1" t="str">
        <f t="shared" si="28"/>
        <v>Vancresidential ExtrasVRTPLACE</v>
      </c>
      <c r="C63" s="58" t="s">
        <v>750</v>
      </c>
      <c r="D63" s="58" t="s">
        <v>775</v>
      </c>
      <c r="E63" s="11">
        <v>16.36</v>
      </c>
      <c r="F63" s="11">
        <v>16.36</v>
      </c>
      <c r="G63" s="11">
        <v>17.239999999999998</v>
      </c>
      <c r="H63" s="55"/>
      <c r="I63" s="14">
        <v>294.48</v>
      </c>
      <c r="J63" s="14">
        <v>327.20000000000005</v>
      </c>
      <c r="K63" s="14">
        <v>196.32</v>
      </c>
      <c r="L63" s="14">
        <v>376.28000000000003</v>
      </c>
      <c r="M63" s="14">
        <v>278.12</v>
      </c>
      <c r="N63" s="14">
        <v>425.36</v>
      </c>
      <c r="O63" s="14">
        <v>376.28</v>
      </c>
      <c r="P63" s="14">
        <v>310.84000000000003</v>
      </c>
      <c r="Q63" s="14">
        <v>376.28000000000003</v>
      </c>
      <c r="R63" s="14">
        <v>342.36</v>
      </c>
      <c r="S63" s="14">
        <v>431</v>
      </c>
      <c r="T63" s="14">
        <v>258.60000000000002</v>
      </c>
      <c r="U63" s="73">
        <f t="shared" si="6"/>
        <v>3993.1200000000003</v>
      </c>
      <c r="W63" s="49">
        <f t="shared" si="29"/>
        <v>18</v>
      </c>
      <c r="X63" s="49">
        <f t="shared" si="30"/>
        <v>20.000000000000004</v>
      </c>
      <c r="Y63" s="49">
        <f t="shared" si="31"/>
        <v>12</v>
      </c>
      <c r="Z63" s="49">
        <f t="shared" si="32"/>
        <v>23.000000000000004</v>
      </c>
      <c r="AA63" s="49">
        <f t="shared" si="33"/>
        <v>17</v>
      </c>
      <c r="AB63" s="49">
        <f t="shared" si="34"/>
        <v>26</v>
      </c>
      <c r="AC63" s="49">
        <f t="shared" si="35"/>
        <v>23</v>
      </c>
      <c r="AD63" s="49">
        <f t="shared" si="36"/>
        <v>19.000000000000004</v>
      </c>
      <c r="AE63" s="49">
        <f t="shared" si="37"/>
        <v>23.000000000000004</v>
      </c>
      <c r="AF63" s="49">
        <f t="shared" si="38"/>
        <v>19.858468677494201</v>
      </c>
      <c r="AG63" s="49">
        <f t="shared" si="39"/>
        <v>25.000000000000004</v>
      </c>
      <c r="AH63" s="49">
        <f t="shared" si="40"/>
        <v>15.000000000000004</v>
      </c>
      <c r="AI63" s="47">
        <f t="shared" si="24"/>
        <v>20.071539056457851</v>
      </c>
      <c r="AJ63" s="134">
        <f t="shared" si="25"/>
        <v>240.85846867749422</v>
      </c>
      <c r="AL63" s="134"/>
    </row>
    <row r="64" spans="2:38" s="45" customFormat="1" x14ac:dyDescent="0.2">
      <c r="B64" s="1" t="str">
        <f>"Vanc"&amp;"residential Extras"&amp;C64</f>
        <v>Vancresidential ExtrasWBTIME</v>
      </c>
      <c r="C64" s="58" t="s">
        <v>72</v>
      </c>
      <c r="D64" s="58" t="s">
        <v>104</v>
      </c>
      <c r="E64" s="11">
        <v>0</v>
      </c>
      <c r="F64" s="11">
        <v>0</v>
      </c>
      <c r="G64" s="11">
        <v>0</v>
      </c>
      <c r="H64" s="55"/>
      <c r="I64" s="14">
        <v>0</v>
      </c>
      <c r="J64" s="14">
        <v>0</v>
      </c>
      <c r="K64" s="14">
        <v>0</v>
      </c>
      <c r="L64" s="14">
        <v>0</v>
      </c>
      <c r="M64" s="14">
        <v>0</v>
      </c>
      <c r="N64" s="14">
        <v>0</v>
      </c>
      <c r="O64" s="14">
        <v>0</v>
      </c>
      <c r="P64" s="14">
        <v>0</v>
      </c>
      <c r="Q64" s="14">
        <v>0</v>
      </c>
      <c r="R64" s="14">
        <v>0</v>
      </c>
      <c r="S64" s="14">
        <v>0</v>
      </c>
      <c r="T64" s="14">
        <v>0</v>
      </c>
      <c r="U64" s="73">
        <f t="shared" si="6"/>
        <v>0</v>
      </c>
      <c r="W64" s="49">
        <f t="shared" si="29"/>
        <v>0</v>
      </c>
      <c r="X64" s="49">
        <f t="shared" si="30"/>
        <v>0</v>
      </c>
      <c r="Y64" s="49">
        <f t="shared" si="31"/>
        <v>0</v>
      </c>
      <c r="Z64" s="49">
        <f t="shared" si="32"/>
        <v>0</v>
      </c>
      <c r="AA64" s="49">
        <f t="shared" si="33"/>
        <v>0</v>
      </c>
      <c r="AB64" s="49">
        <f t="shared" si="34"/>
        <v>0</v>
      </c>
      <c r="AC64" s="49">
        <f t="shared" si="35"/>
        <v>0</v>
      </c>
      <c r="AD64" s="49">
        <f t="shared" si="36"/>
        <v>0</v>
      </c>
      <c r="AE64" s="49">
        <f t="shared" si="37"/>
        <v>0</v>
      </c>
      <c r="AF64" s="49">
        <f t="shared" si="38"/>
        <v>0</v>
      </c>
      <c r="AG64" s="49">
        <f t="shared" si="39"/>
        <v>0</v>
      </c>
      <c r="AH64" s="49">
        <f t="shared" si="40"/>
        <v>0</v>
      </c>
      <c r="AI64" s="47">
        <f t="shared" si="24"/>
        <v>0</v>
      </c>
      <c r="AJ64" s="134">
        <f t="shared" si="25"/>
        <v>0</v>
      </c>
      <c r="AL64" s="134"/>
    </row>
    <row r="65" spans="2:47" s="45" customFormat="1" x14ac:dyDescent="0.2">
      <c r="B65" s="1" t="str">
        <f t="shared" si="28"/>
        <v>Vancresidential ExtrasRRTRIP</v>
      </c>
      <c r="C65" s="58" t="s">
        <v>74</v>
      </c>
      <c r="D65" s="58" t="s">
        <v>106</v>
      </c>
      <c r="E65" s="11">
        <v>13.15</v>
      </c>
      <c r="F65" s="11">
        <v>13.15</v>
      </c>
      <c r="G65" s="11">
        <v>13.85</v>
      </c>
      <c r="H65" s="55"/>
      <c r="I65" s="14">
        <v>302.45</v>
      </c>
      <c r="J65" s="14">
        <v>537.92999999999995</v>
      </c>
      <c r="K65" s="14">
        <v>415.22</v>
      </c>
      <c r="L65" s="14">
        <v>867.9</v>
      </c>
      <c r="M65" s="14">
        <v>394.5</v>
      </c>
      <c r="N65" s="14">
        <v>289.29999999999995</v>
      </c>
      <c r="O65" s="14">
        <v>341.9</v>
      </c>
      <c r="P65" s="14">
        <v>539.15</v>
      </c>
      <c r="Q65" s="14">
        <v>355.05</v>
      </c>
      <c r="R65" s="14">
        <v>413.4</v>
      </c>
      <c r="S65" s="14">
        <v>360.1</v>
      </c>
      <c r="T65" s="14">
        <v>387.8</v>
      </c>
      <c r="U65" s="73">
        <f t="shared" si="6"/>
        <v>5204.7000000000007</v>
      </c>
      <c r="W65" s="49">
        <f t="shared" si="29"/>
        <v>23</v>
      </c>
      <c r="X65" s="49">
        <f t="shared" si="30"/>
        <v>40.907224334600755</v>
      </c>
      <c r="Y65" s="49">
        <f t="shared" si="31"/>
        <v>31.575665399239544</v>
      </c>
      <c r="Z65" s="49">
        <f t="shared" si="32"/>
        <v>66</v>
      </c>
      <c r="AA65" s="49">
        <f t="shared" si="33"/>
        <v>30</v>
      </c>
      <c r="AB65" s="49">
        <f t="shared" si="34"/>
        <v>21.999999999999996</v>
      </c>
      <c r="AC65" s="49">
        <f t="shared" si="35"/>
        <v>25.999999999999996</v>
      </c>
      <c r="AD65" s="49">
        <f t="shared" si="36"/>
        <v>41</v>
      </c>
      <c r="AE65" s="49">
        <f t="shared" si="37"/>
        <v>27</v>
      </c>
      <c r="AF65" s="49">
        <f t="shared" si="38"/>
        <v>29.848375451263536</v>
      </c>
      <c r="AG65" s="49">
        <f t="shared" si="39"/>
        <v>26.000000000000004</v>
      </c>
      <c r="AH65" s="49">
        <f t="shared" si="40"/>
        <v>28</v>
      </c>
      <c r="AI65" s="47">
        <f t="shared" si="24"/>
        <v>32.610938765425317</v>
      </c>
      <c r="AJ65" s="134">
        <f t="shared" si="25"/>
        <v>391.3312651851038</v>
      </c>
      <c r="AL65" s="134"/>
    </row>
    <row r="66" spans="2:47" s="45" customFormat="1" x14ac:dyDescent="0.2">
      <c r="B66" s="1" t="str">
        <f t="shared" si="28"/>
        <v>Vancresidential ExtrasTOTEPUR</v>
      </c>
      <c r="C66" s="58" t="s">
        <v>73</v>
      </c>
      <c r="D66" s="58" t="s">
        <v>105</v>
      </c>
      <c r="E66" s="11">
        <v>50</v>
      </c>
      <c r="F66" s="11">
        <v>50</v>
      </c>
      <c r="G66" s="11">
        <v>50</v>
      </c>
      <c r="H66" s="55"/>
      <c r="I66" s="14">
        <v>0</v>
      </c>
      <c r="J66" s="14">
        <v>843.29000000000008</v>
      </c>
      <c r="K66" s="14">
        <v>2574.98</v>
      </c>
      <c r="L66" s="14">
        <v>223.18</v>
      </c>
      <c r="M66" s="14">
        <v>2278.9299999999998</v>
      </c>
      <c r="N66" s="14">
        <v>382.75</v>
      </c>
      <c r="O66" s="14">
        <v>1876.12</v>
      </c>
      <c r="P66" s="14">
        <v>0</v>
      </c>
      <c r="Q66" s="14">
        <v>0</v>
      </c>
      <c r="R66" s="14">
        <v>0</v>
      </c>
      <c r="S66" s="14">
        <v>0</v>
      </c>
      <c r="T66" s="14">
        <v>899.38</v>
      </c>
      <c r="U66" s="73">
        <f t="shared" si="6"/>
        <v>9078.6299999999992</v>
      </c>
      <c r="W66" s="49">
        <f t="shared" si="29"/>
        <v>0</v>
      </c>
      <c r="X66" s="49">
        <f t="shared" si="30"/>
        <v>16.8658</v>
      </c>
      <c r="Y66" s="49">
        <f t="shared" si="31"/>
        <v>51.499600000000001</v>
      </c>
      <c r="Z66" s="49">
        <f t="shared" si="32"/>
        <v>4.4636000000000005</v>
      </c>
      <c r="AA66" s="49">
        <f t="shared" si="33"/>
        <v>45.578599999999994</v>
      </c>
      <c r="AB66" s="49">
        <f t="shared" si="34"/>
        <v>7.6550000000000002</v>
      </c>
      <c r="AC66" s="49">
        <f t="shared" si="35"/>
        <v>37.522399999999998</v>
      </c>
      <c r="AD66" s="49">
        <f t="shared" si="36"/>
        <v>0</v>
      </c>
      <c r="AE66" s="49">
        <f t="shared" si="37"/>
        <v>0</v>
      </c>
      <c r="AF66" s="49">
        <f t="shared" si="38"/>
        <v>0</v>
      </c>
      <c r="AG66" s="49">
        <f t="shared" si="39"/>
        <v>0</v>
      </c>
      <c r="AH66" s="49">
        <f t="shared" si="40"/>
        <v>17.9876</v>
      </c>
      <c r="AI66" s="47">
        <f t="shared" si="24"/>
        <v>15.131049999999997</v>
      </c>
      <c r="AJ66" s="134">
        <f t="shared" si="25"/>
        <v>181.57259999999997</v>
      </c>
      <c r="AL66" s="134"/>
    </row>
    <row r="67" spans="2:47" s="45" customFormat="1" ht="15" x14ac:dyDescent="0.25">
      <c r="B67" s="1" t="str">
        <f>"Vanc"&amp;"Accounting"&amp;C67</f>
        <v>VancAccountingRETCKC</v>
      </c>
      <c r="C67" s="58" t="s">
        <v>1015</v>
      </c>
      <c r="D67" s="58" t="s">
        <v>1016</v>
      </c>
      <c r="E67" s="11">
        <v>0</v>
      </c>
      <c r="F67" s="11">
        <v>0</v>
      </c>
      <c r="G67" s="11">
        <v>0</v>
      </c>
      <c r="H67" s="55"/>
      <c r="I67" s="14">
        <v>25</v>
      </c>
      <c r="J67" s="14">
        <v>50</v>
      </c>
      <c r="K67" s="14">
        <v>350</v>
      </c>
      <c r="L67" s="14">
        <v>75</v>
      </c>
      <c r="M67" s="14">
        <v>100</v>
      </c>
      <c r="N67" s="14">
        <v>75</v>
      </c>
      <c r="O67" s="14">
        <v>0</v>
      </c>
      <c r="P67" s="14">
        <v>100</v>
      </c>
      <c r="Q67" s="14">
        <v>125</v>
      </c>
      <c r="R67" s="14">
        <v>50</v>
      </c>
      <c r="S67" s="14">
        <v>50</v>
      </c>
      <c r="T67" s="14">
        <v>50</v>
      </c>
      <c r="U67" s="73">
        <f>SUM(I67:T67)</f>
        <v>1050</v>
      </c>
      <c r="W67" s="48"/>
      <c r="X67" s="48"/>
      <c r="Y67" s="48"/>
      <c r="Z67" s="48"/>
      <c r="AA67" s="48"/>
      <c r="AB67" s="48"/>
      <c r="AC67" s="48"/>
      <c r="AD67" s="48"/>
      <c r="AE67" s="48"/>
      <c r="AF67" s="48"/>
      <c r="AG67" s="48"/>
      <c r="AH67" s="48"/>
      <c r="AI67" s="40"/>
      <c r="AJ67"/>
      <c r="AK67"/>
    </row>
    <row r="68" spans="2:47" s="45" customFormat="1" x14ac:dyDescent="0.2">
      <c r="B68" s="1" t="str">
        <f>"Vanc"&amp;"residential"&amp;C68</f>
        <v>VancresidentialRSNP</v>
      </c>
      <c r="C68" s="58" t="s">
        <v>69</v>
      </c>
      <c r="D68" s="58" t="s">
        <v>101</v>
      </c>
      <c r="E68" s="11">
        <v>0</v>
      </c>
      <c r="F68" s="11">
        <v>0</v>
      </c>
      <c r="G68" s="11">
        <v>0</v>
      </c>
      <c r="H68" s="55"/>
      <c r="I68" s="14">
        <v>0</v>
      </c>
      <c r="J68" s="14">
        <v>0</v>
      </c>
      <c r="K68" s="14">
        <v>0</v>
      </c>
      <c r="L68" s="14">
        <v>0</v>
      </c>
      <c r="M68" s="14">
        <v>0</v>
      </c>
      <c r="N68" s="14">
        <v>0</v>
      </c>
      <c r="O68" s="14">
        <v>0</v>
      </c>
      <c r="P68" s="14">
        <v>0</v>
      </c>
      <c r="Q68" s="14">
        <v>0</v>
      </c>
      <c r="R68" s="14">
        <v>0</v>
      </c>
      <c r="S68" s="14">
        <v>0</v>
      </c>
      <c r="T68" s="14">
        <v>0</v>
      </c>
      <c r="U68" s="73">
        <f t="shared" si="6"/>
        <v>0</v>
      </c>
      <c r="W68" s="49">
        <f>IFERROR(I68/$E68,0)</f>
        <v>0</v>
      </c>
      <c r="X68" s="49">
        <f>IFERROR(J68/$E68,0)</f>
        <v>0</v>
      </c>
      <c r="Y68" s="49">
        <f>IFERROR(K68/$E68,0)</f>
        <v>0</v>
      </c>
      <c r="Z68" s="49">
        <f t="shared" ref="Z68:AE68" si="41">IFERROR(L68/$F68,0)</f>
        <v>0</v>
      </c>
      <c r="AA68" s="49">
        <f t="shared" si="41"/>
        <v>0</v>
      </c>
      <c r="AB68" s="49">
        <f t="shared" si="41"/>
        <v>0</v>
      </c>
      <c r="AC68" s="49">
        <f t="shared" si="41"/>
        <v>0</v>
      </c>
      <c r="AD68" s="49">
        <f t="shared" si="41"/>
        <v>0</v>
      </c>
      <c r="AE68" s="49">
        <f t="shared" si="41"/>
        <v>0</v>
      </c>
      <c r="AF68" s="49">
        <f>IFERROR(R68/$G68,0)</f>
        <v>0</v>
      </c>
      <c r="AG68" s="49">
        <f>IFERROR(S68/$G68,0)</f>
        <v>0</v>
      </c>
      <c r="AH68" s="49">
        <f>IFERROR(T68/$G68,0)</f>
        <v>0</v>
      </c>
      <c r="AI68" s="47">
        <f t="shared" si="24"/>
        <v>0</v>
      </c>
      <c r="AJ68" s="134">
        <f t="shared" si="25"/>
        <v>0</v>
      </c>
      <c r="AL68" s="134"/>
    </row>
    <row r="69" spans="2:47" s="45" customFormat="1" x14ac:dyDescent="0.2">
      <c r="C69" s="58"/>
      <c r="D69" s="58"/>
      <c r="E69" s="55"/>
      <c r="F69" s="55"/>
      <c r="G69" s="55"/>
      <c r="H69" s="55"/>
      <c r="I69" s="46"/>
      <c r="J69" s="46"/>
      <c r="K69" s="49"/>
      <c r="L69" s="48"/>
      <c r="M69" s="48"/>
      <c r="N69" s="48"/>
      <c r="O69" s="48"/>
      <c r="P69" s="48"/>
      <c r="Q69" s="48"/>
      <c r="R69" s="48"/>
      <c r="S69" s="14"/>
      <c r="T69" s="14"/>
      <c r="U69" s="73"/>
      <c r="AI69" s="40"/>
      <c r="AJ69" s="134">
        <f t="shared" si="20"/>
        <v>0</v>
      </c>
      <c r="AL69" s="134"/>
    </row>
    <row r="70" spans="2:47" s="45" customFormat="1" x14ac:dyDescent="0.2">
      <c r="D70" s="52" t="s">
        <v>4</v>
      </c>
      <c r="E70" s="55"/>
      <c r="F70" s="55"/>
      <c r="G70" s="55"/>
      <c r="H70" s="55"/>
      <c r="I70" s="74">
        <f t="shared" ref="I70:U70" si="42">SUM(I12:I69)</f>
        <v>1405122.9450000001</v>
      </c>
      <c r="J70" s="74">
        <f t="shared" si="42"/>
        <v>1437880.3949999996</v>
      </c>
      <c r="K70" s="74">
        <f t="shared" si="42"/>
        <v>1430600.7549999999</v>
      </c>
      <c r="L70" s="74">
        <f t="shared" si="42"/>
        <v>1433378.0699999996</v>
      </c>
      <c r="M70" s="74">
        <f t="shared" si="42"/>
        <v>1428034.7799999996</v>
      </c>
      <c r="N70" s="74">
        <f t="shared" si="42"/>
        <v>1433773.1450000005</v>
      </c>
      <c r="O70" s="74">
        <f t="shared" si="42"/>
        <v>1417663.4249999998</v>
      </c>
      <c r="P70" s="74">
        <f t="shared" si="42"/>
        <v>1434501.5950000004</v>
      </c>
      <c r="Q70" s="74">
        <f t="shared" si="42"/>
        <v>1420516.7950000002</v>
      </c>
      <c r="R70" s="74">
        <f t="shared" si="42"/>
        <v>1523364.9550000005</v>
      </c>
      <c r="S70" s="74">
        <f t="shared" si="42"/>
        <v>1507357.0050000001</v>
      </c>
      <c r="T70" s="74">
        <f t="shared" si="42"/>
        <v>1526521.9250000003</v>
      </c>
      <c r="U70" s="74">
        <f t="shared" si="42"/>
        <v>17398715.789999995</v>
      </c>
      <c r="W70" s="188">
        <f>SUM(W12:W44)</f>
        <v>48453.412153636789</v>
      </c>
      <c r="X70" s="188">
        <f t="shared" ref="X70:AI70" si="43">SUM(X12:X44)</f>
        <v>48939.794967096219</v>
      </c>
      <c r="Y70" s="188">
        <f t="shared" si="43"/>
        <v>48720.042356637365</v>
      </c>
      <c r="Z70" s="188">
        <f t="shared" si="43"/>
        <v>48961.95562774413</v>
      </c>
      <c r="AA70" s="188">
        <f t="shared" si="43"/>
        <v>48677.169639503481</v>
      </c>
      <c r="AB70" s="188">
        <f t="shared" si="43"/>
        <v>48917.671109512819</v>
      </c>
      <c r="AC70" s="188">
        <f t="shared" si="43"/>
        <v>48599.477142896008</v>
      </c>
      <c r="AD70" s="188">
        <f t="shared" si="43"/>
        <v>48683.348917999378</v>
      </c>
      <c r="AE70" s="188">
        <f t="shared" si="43"/>
        <v>48487.84231212725</v>
      </c>
      <c r="AF70" s="188">
        <f t="shared" si="43"/>
        <v>46067.422086646715</v>
      </c>
      <c r="AG70" s="188">
        <f t="shared" si="43"/>
        <v>45793.411397135853</v>
      </c>
      <c r="AH70" s="188">
        <f t="shared" si="43"/>
        <v>46195.358868932373</v>
      </c>
      <c r="AI70" s="188">
        <f t="shared" si="43"/>
        <v>48041.408881655698</v>
      </c>
      <c r="AJ70" s="188">
        <f>SUM(AJ12:AJ45,AJ54,AJ56,AJ59,AJ58)</f>
        <v>647127.14250854007</v>
      </c>
      <c r="AO70" s="189">
        <f>SUM(AO12:AO44)</f>
        <v>48041.408881655698</v>
      </c>
      <c r="AQ70" s="189">
        <f>SUM(AQ12:AQ44)</f>
        <v>0</v>
      </c>
      <c r="AS70" s="189">
        <f>SUM(AS12:AS44)</f>
        <v>0</v>
      </c>
      <c r="AU70" s="189">
        <f>SUM(AU12:AU44)</f>
        <v>0</v>
      </c>
    </row>
    <row r="71" spans="2:47" s="45" customFormat="1" x14ac:dyDescent="0.2">
      <c r="C71" s="70"/>
      <c r="D71" s="71"/>
      <c r="E71" s="55"/>
      <c r="F71" s="55"/>
      <c r="G71" s="55"/>
      <c r="H71" s="55"/>
      <c r="I71" s="46"/>
      <c r="J71" s="46" t="str">
        <f>IF(H71="","",(#REF!/H71)+(#REF!/#REF!))</f>
        <v/>
      </c>
      <c r="K71" s="49" t="str">
        <f>IF(H71="","",J71/12)</f>
        <v/>
      </c>
      <c r="L71" s="72"/>
      <c r="M71" s="73"/>
      <c r="S71" s="14"/>
      <c r="T71" s="14"/>
      <c r="U71" s="73"/>
      <c r="W71" s="48"/>
      <c r="X71" s="48"/>
      <c r="Y71" s="48"/>
      <c r="Z71" s="48"/>
      <c r="AA71" s="48"/>
      <c r="AB71" s="48"/>
      <c r="AC71" s="48"/>
      <c r="AD71" s="48"/>
      <c r="AE71" s="48"/>
      <c r="AF71" s="48"/>
      <c r="AG71" s="48"/>
      <c r="AH71" s="48"/>
      <c r="AI71" s="195">
        <f>+(AI70-42548)/42548</f>
        <v>0.12911086024385865</v>
      </c>
    </row>
    <row r="72" spans="2:47" s="45" customFormat="1" x14ac:dyDescent="0.2">
      <c r="C72" s="42" t="s">
        <v>5</v>
      </c>
      <c r="D72" s="42" t="s">
        <v>5</v>
      </c>
      <c r="E72" s="55"/>
      <c r="F72" s="55"/>
      <c r="G72" s="55"/>
      <c r="H72" s="55"/>
      <c r="I72" s="46"/>
      <c r="J72" s="46" t="str">
        <f>IF(H72="","",(#REF!/H72)+(#REF!/#REF!))</f>
        <v/>
      </c>
      <c r="K72" s="49" t="str">
        <f>IF(H72="","",J72/12)</f>
        <v/>
      </c>
      <c r="L72" s="72"/>
      <c r="M72" s="73"/>
      <c r="S72" s="14"/>
      <c r="T72" s="14"/>
      <c r="U72" s="73"/>
      <c r="W72" s="48"/>
      <c r="X72" s="48"/>
      <c r="Y72" s="48"/>
      <c r="Z72" s="48"/>
      <c r="AA72" s="48"/>
      <c r="AB72" s="48"/>
      <c r="AC72" s="48"/>
      <c r="AD72" s="48"/>
      <c r="AE72" s="48"/>
      <c r="AF72" s="48"/>
      <c r="AG72" s="48"/>
      <c r="AH72" s="48"/>
      <c r="AI72" s="40"/>
    </row>
    <row r="73" spans="2:47" s="253" customFormat="1" x14ac:dyDescent="0.2">
      <c r="B73" s="241" t="str">
        <f t="shared" ref="B73:B84" si="44">"Vanc"&amp;"residential"&amp;C73</f>
        <v>VancresidentialVRRECHEL</v>
      </c>
      <c r="C73" s="232" t="s">
        <v>776</v>
      </c>
      <c r="D73" s="232" t="s">
        <v>781</v>
      </c>
      <c r="E73" s="238">
        <v>2.97</v>
      </c>
      <c r="F73" s="238">
        <v>2.97</v>
      </c>
      <c r="G73" s="238">
        <v>3.89</v>
      </c>
      <c r="H73" s="261"/>
      <c r="I73" s="243">
        <v>148.5</v>
      </c>
      <c r="J73" s="243">
        <v>147.01499999999999</v>
      </c>
      <c r="K73" s="243">
        <v>147.01499999999999</v>
      </c>
      <c r="L73" s="243">
        <v>146.27000000000001</v>
      </c>
      <c r="M73" s="243">
        <v>146.27000000000001</v>
      </c>
      <c r="N73" s="243">
        <v>157.41</v>
      </c>
      <c r="O73" s="243">
        <v>154.44</v>
      </c>
      <c r="P73" s="243">
        <v>157.41</v>
      </c>
      <c r="Q73" s="243">
        <v>157.41</v>
      </c>
      <c r="R73" s="243">
        <v>216.87</v>
      </c>
      <c r="S73" s="243">
        <v>211.03</v>
      </c>
      <c r="T73" s="243">
        <v>210.06</v>
      </c>
      <c r="U73" s="263">
        <f t="shared" ref="U73:U94" si="45">SUM(I73:T73)</f>
        <v>1999.7</v>
      </c>
      <c r="W73" s="264">
        <f t="shared" ref="W73:W87" si="46">IFERROR(I73/$E73,0)</f>
        <v>50</v>
      </c>
      <c r="X73" s="264">
        <f t="shared" ref="X73:X87" si="47">IFERROR(J73/$E73,0)</f>
        <v>49.499999999999993</v>
      </c>
      <c r="Y73" s="264">
        <f t="shared" ref="Y73:Y87" si="48">IFERROR(K73/$E73,0)</f>
        <v>49.499999999999993</v>
      </c>
      <c r="Z73" s="264">
        <f t="shared" ref="Z73:Z87" si="49">IFERROR(L73/$F73,0)</f>
        <v>49.249158249158249</v>
      </c>
      <c r="AA73" s="264">
        <f t="shared" ref="AA73:AA87" si="50">IFERROR(M73/$F73,0)</f>
        <v>49.249158249158249</v>
      </c>
      <c r="AB73" s="264">
        <f t="shared" ref="AB73:AB87" si="51">IFERROR(N73/$F73,0)</f>
        <v>52.999999999999993</v>
      </c>
      <c r="AC73" s="264">
        <f t="shared" ref="AC73:AC87" si="52">IFERROR(O73/$F73,0)</f>
        <v>51.999999999999993</v>
      </c>
      <c r="AD73" s="264">
        <f t="shared" ref="AD73:AD87" si="53">IFERROR(P73/$F73,0)</f>
        <v>52.999999999999993</v>
      </c>
      <c r="AE73" s="264">
        <f t="shared" ref="AE73:AE87" si="54">IFERROR(Q73/$F73,0)</f>
        <v>52.999999999999993</v>
      </c>
      <c r="AF73" s="264">
        <f t="shared" ref="AF73:AF87" si="55">IFERROR(R73/$G73,0)</f>
        <v>55.750642673521853</v>
      </c>
      <c r="AG73" s="264">
        <f t="shared" ref="AG73:AG87" si="56">IFERROR(S73/$G73,0)</f>
        <v>54.249357326478147</v>
      </c>
      <c r="AH73" s="264">
        <f t="shared" ref="AH73:AH87" si="57">IFERROR(T73/$G73,0)</f>
        <v>54</v>
      </c>
      <c r="AI73" s="265">
        <f t="shared" ref="AI73:AI94" si="58">+IFERROR(AVERAGE(W73:AH73),0)</f>
        <v>51.874859708193043</v>
      </c>
      <c r="AJ73" s="266">
        <f t="shared" ref="AJ73:AJ94" si="59">SUM(W73:AH73)</f>
        <v>622.49831649831651</v>
      </c>
      <c r="AN73" s="241">
        <v>1</v>
      </c>
      <c r="AO73" s="240">
        <f t="shared" ref="AO73:AO85" si="60">+$AI73*AN73</f>
        <v>51.874859708193043</v>
      </c>
      <c r="AP73" s="241">
        <v>0</v>
      </c>
      <c r="AQ73" s="240">
        <f t="shared" ref="AQ73:AQ85" si="61">+$AI73*AP73</f>
        <v>0</v>
      </c>
      <c r="AR73" s="241">
        <v>0</v>
      </c>
      <c r="AS73" s="240">
        <f t="shared" ref="AS73:AS85" si="62">+$AI73*AR73</f>
        <v>0</v>
      </c>
      <c r="AT73" s="241">
        <v>0</v>
      </c>
      <c r="AU73" s="240">
        <f t="shared" ref="AU73:AU85" si="63">+$AI73*AT73</f>
        <v>0</v>
      </c>
    </row>
    <row r="74" spans="2:47" s="253" customFormat="1" x14ac:dyDescent="0.2">
      <c r="B74" s="241" t="str">
        <f t="shared" si="44"/>
        <v>VancresidentialVRREC35</v>
      </c>
      <c r="C74" s="232" t="s">
        <v>777</v>
      </c>
      <c r="D74" s="232" t="s">
        <v>782</v>
      </c>
      <c r="E74" s="238">
        <v>2.97</v>
      </c>
      <c r="F74" s="238">
        <v>2.97</v>
      </c>
      <c r="G74" s="238">
        <v>3.89</v>
      </c>
      <c r="H74" s="261"/>
      <c r="I74" s="243">
        <v>2409.79</v>
      </c>
      <c r="J74" s="243">
        <v>2454.6800000000003</v>
      </c>
      <c r="K74" s="243">
        <v>2447.58</v>
      </c>
      <c r="L74" s="243">
        <v>2461.3500000000004</v>
      </c>
      <c r="M74" s="243">
        <v>2452.4300000000003</v>
      </c>
      <c r="N74" s="243">
        <v>2464.36</v>
      </c>
      <c r="O74" s="243">
        <v>2452.46</v>
      </c>
      <c r="P74" s="243">
        <v>2459.9300000000003</v>
      </c>
      <c r="Q74" s="243">
        <v>2445.0700000000002</v>
      </c>
      <c r="R74" s="243">
        <v>3194.2649999999999</v>
      </c>
      <c r="S74" s="243">
        <v>3154.2049999999999</v>
      </c>
      <c r="T74" s="243">
        <v>3162.1350000000002</v>
      </c>
      <c r="U74" s="263">
        <f t="shared" si="45"/>
        <v>31558.255000000005</v>
      </c>
      <c r="W74" s="264">
        <f t="shared" si="46"/>
        <v>811.37710437710427</v>
      </c>
      <c r="X74" s="264">
        <f t="shared" si="47"/>
        <v>826.49158249158256</v>
      </c>
      <c r="Y74" s="264">
        <f t="shared" si="48"/>
        <v>824.10101010101005</v>
      </c>
      <c r="Z74" s="264">
        <f t="shared" si="49"/>
        <v>828.73737373737379</v>
      </c>
      <c r="AA74" s="264">
        <f t="shared" si="50"/>
        <v>825.73400673400681</v>
      </c>
      <c r="AB74" s="264">
        <f t="shared" si="51"/>
        <v>829.75084175084169</v>
      </c>
      <c r="AC74" s="264">
        <f t="shared" si="52"/>
        <v>825.74410774410774</v>
      </c>
      <c r="AD74" s="264">
        <f t="shared" si="53"/>
        <v>828.25925925925935</v>
      </c>
      <c r="AE74" s="264">
        <f t="shared" si="54"/>
        <v>823.25589225589226</v>
      </c>
      <c r="AF74" s="264">
        <f t="shared" si="55"/>
        <v>821.14781491002566</v>
      </c>
      <c r="AG74" s="264">
        <f t="shared" si="56"/>
        <v>810.84961439588687</v>
      </c>
      <c r="AH74" s="264">
        <f t="shared" si="57"/>
        <v>812.88817480719797</v>
      </c>
      <c r="AI74" s="265">
        <f t="shared" si="58"/>
        <v>822.36139854702412</v>
      </c>
      <c r="AJ74" s="266">
        <f t="shared" si="59"/>
        <v>9868.336782564289</v>
      </c>
      <c r="AN74" s="241">
        <v>1</v>
      </c>
      <c r="AO74" s="240">
        <f t="shared" si="60"/>
        <v>822.36139854702412</v>
      </c>
      <c r="AP74" s="241">
        <v>0</v>
      </c>
      <c r="AQ74" s="240">
        <f t="shared" si="61"/>
        <v>0</v>
      </c>
      <c r="AR74" s="241">
        <v>0</v>
      </c>
      <c r="AS74" s="240">
        <f t="shared" si="62"/>
        <v>0</v>
      </c>
      <c r="AT74" s="241">
        <v>0</v>
      </c>
      <c r="AU74" s="240">
        <f t="shared" si="63"/>
        <v>0</v>
      </c>
    </row>
    <row r="75" spans="2:47" s="253" customFormat="1" x14ac:dyDescent="0.2">
      <c r="B75" s="241" t="str">
        <f t="shared" si="44"/>
        <v>VancresidentialVRREC48</v>
      </c>
      <c r="C75" s="232" t="s">
        <v>778</v>
      </c>
      <c r="D75" s="232" t="s">
        <v>783</v>
      </c>
      <c r="E75" s="238">
        <v>2.97</v>
      </c>
      <c r="F75" s="238">
        <v>2.97</v>
      </c>
      <c r="G75" s="238">
        <v>3.89</v>
      </c>
      <c r="H75" s="261"/>
      <c r="I75" s="243">
        <v>2288.3650000000002</v>
      </c>
      <c r="J75" s="243">
        <v>2295.0500000000002</v>
      </c>
      <c r="K75" s="243">
        <v>2281.67</v>
      </c>
      <c r="L75" s="243">
        <v>2314.335</v>
      </c>
      <c r="M75" s="243">
        <v>2303.915</v>
      </c>
      <c r="N75" s="243">
        <v>2298.7850000000003</v>
      </c>
      <c r="O75" s="243">
        <v>2283.8850000000002</v>
      </c>
      <c r="P75" s="243">
        <v>2272.0700000000002</v>
      </c>
      <c r="Q75" s="243">
        <v>2264.6200000000003</v>
      </c>
      <c r="R75" s="243">
        <v>2954.5349999999999</v>
      </c>
      <c r="S75" s="243">
        <v>2936.9949999999999</v>
      </c>
      <c r="T75" s="243">
        <v>2946.69</v>
      </c>
      <c r="U75" s="263">
        <f t="shared" si="45"/>
        <v>29440.915000000001</v>
      </c>
      <c r="W75" s="264">
        <f t="shared" si="46"/>
        <v>770.49326599326605</v>
      </c>
      <c r="X75" s="264">
        <f t="shared" si="47"/>
        <v>772.74410774410774</v>
      </c>
      <c r="Y75" s="264">
        <f t="shared" si="48"/>
        <v>768.23905723905716</v>
      </c>
      <c r="Z75" s="264">
        <f t="shared" si="49"/>
        <v>779.23737373737367</v>
      </c>
      <c r="AA75" s="264">
        <f t="shared" si="50"/>
        <v>775.72895622895612</v>
      </c>
      <c r="AB75" s="264">
        <f t="shared" si="51"/>
        <v>774.0016835016836</v>
      </c>
      <c r="AC75" s="264">
        <f t="shared" si="52"/>
        <v>768.9848484848485</v>
      </c>
      <c r="AD75" s="264">
        <f t="shared" si="53"/>
        <v>765.00673400673406</v>
      </c>
      <c r="AE75" s="264">
        <f t="shared" si="54"/>
        <v>762.49831649831651</v>
      </c>
      <c r="AF75" s="264">
        <f t="shared" si="55"/>
        <v>759.52056555269917</v>
      </c>
      <c r="AG75" s="264">
        <f t="shared" si="56"/>
        <v>755.01156812339332</v>
      </c>
      <c r="AH75" s="264">
        <f t="shared" si="57"/>
        <v>757.50385604113114</v>
      </c>
      <c r="AI75" s="265">
        <f t="shared" si="58"/>
        <v>767.41419442929725</v>
      </c>
      <c r="AJ75" s="266">
        <f t="shared" si="59"/>
        <v>9208.9703331515666</v>
      </c>
      <c r="AN75" s="241">
        <v>1</v>
      </c>
      <c r="AO75" s="240">
        <f t="shared" si="60"/>
        <v>767.41419442929725</v>
      </c>
      <c r="AP75" s="241">
        <v>0</v>
      </c>
      <c r="AQ75" s="240">
        <f t="shared" si="61"/>
        <v>0</v>
      </c>
      <c r="AR75" s="241">
        <v>0</v>
      </c>
      <c r="AS75" s="240">
        <f t="shared" si="62"/>
        <v>0</v>
      </c>
      <c r="AT75" s="241">
        <v>0</v>
      </c>
      <c r="AU75" s="240">
        <f t="shared" si="63"/>
        <v>0</v>
      </c>
    </row>
    <row r="76" spans="2:47" s="253" customFormat="1" x14ac:dyDescent="0.2">
      <c r="B76" s="241" t="str">
        <f t="shared" si="44"/>
        <v>VancresidentialVRREC65</v>
      </c>
      <c r="C76" s="232" t="s">
        <v>779</v>
      </c>
      <c r="D76" s="232" t="s">
        <v>784</v>
      </c>
      <c r="E76" s="238">
        <v>2.97</v>
      </c>
      <c r="F76" s="238">
        <v>2.97</v>
      </c>
      <c r="G76" s="238">
        <v>3.89</v>
      </c>
      <c r="H76" s="261"/>
      <c r="I76" s="243">
        <v>6052.06</v>
      </c>
      <c r="J76" s="243">
        <v>6030.5300000000007</v>
      </c>
      <c r="K76" s="243">
        <v>6000.6500000000005</v>
      </c>
      <c r="L76" s="243">
        <v>5982.6949999999997</v>
      </c>
      <c r="M76" s="243">
        <v>5973.7650000000003</v>
      </c>
      <c r="N76" s="243">
        <v>6026.14</v>
      </c>
      <c r="O76" s="243">
        <v>6006.81</v>
      </c>
      <c r="P76" s="243">
        <v>6017.9949999999999</v>
      </c>
      <c r="Q76" s="243">
        <v>6009.0649999999996</v>
      </c>
      <c r="R76" s="243">
        <v>7929.45</v>
      </c>
      <c r="S76" s="243">
        <v>7919.7</v>
      </c>
      <c r="T76" s="243">
        <v>7951.1949999999997</v>
      </c>
      <c r="U76" s="263">
        <f t="shared" si="45"/>
        <v>77900.054999999993</v>
      </c>
      <c r="W76" s="264">
        <f t="shared" si="46"/>
        <v>2037.7306397306397</v>
      </c>
      <c r="X76" s="264">
        <f t="shared" si="47"/>
        <v>2030.4814814814815</v>
      </c>
      <c r="Y76" s="264">
        <f t="shared" si="48"/>
        <v>2020.4208754208755</v>
      </c>
      <c r="Z76" s="264">
        <f t="shared" si="49"/>
        <v>2014.3754208754206</v>
      </c>
      <c r="AA76" s="264">
        <f t="shared" si="50"/>
        <v>2011.3686868686868</v>
      </c>
      <c r="AB76" s="264">
        <f t="shared" si="51"/>
        <v>2029.003367003367</v>
      </c>
      <c r="AC76" s="264">
        <f t="shared" si="52"/>
        <v>2022.4949494949494</v>
      </c>
      <c r="AD76" s="264">
        <f t="shared" si="53"/>
        <v>2026.2609427609425</v>
      </c>
      <c r="AE76" s="264">
        <f t="shared" si="54"/>
        <v>2023.2542087542085</v>
      </c>
      <c r="AF76" s="264">
        <f t="shared" si="55"/>
        <v>2038.4190231362468</v>
      </c>
      <c r="AG76" s="264">
        <f t="shared" si="56"/>
        <v>2035.9125964010282</v>
      </c>
      <c r="AH76" s="264">
        <f t="shared" si="57"/>
        <v>2044.0089974293057</v>
      </c>
      <c r="AI76" s="265">
        <f t="shared" si="58"/>
        <v>2027.8109324464292</v>
      </c>
      <c r="AJ76" s="266">
        <f t="shared" si="59"/>
        <v>24333.73118935715</v>
      </c>
      <c r="AN76" s="241">
        <v>1</v>
      </c>
      <c r="AO76" s="240">
        <f t="shared" si="60"/>
        <v>2027.8109324464292</v>
      </c>
      <c r="AP76" s="241">
        <v>0</v>
      </c>
      <c r="AQ76" s="240">
        <f t="shared" si="61"/>
        <v>0</v>
      </c>
      <c r="AR76" s="241">
        <v>0</v>
      </c>
      <c r="AS76" s="240">
        <f t="shared" si="62"/>
        <v>0</v>
      </c>
      <c r="AT76" s="241">
        <v>0</v>
      </c>
      <c r="AU76" s="240">
        <f t="shared" si="63"/>
        <v>0</v>
      </c>
    </row>
    <row r="77" spans="2:47" s="253" customFormat="1" x14ac:dyDescent="0.2">
      <c r="B77" s="241" t="str">
        <f>"Vanc"&amp;"residential"&amp;C77</f>
        <v>VancresidentialCRREC35</v>
      </c>
      <c r="C77" s="232" t="s">
        <v>416</v>
      </c>
      <c r="D77" s="232" t="s">
        <v>425</v>
      </c>
      <c r="E77" s="238">
        <v>2.97</v>
      </c>
      <c r="F77" s="238">
        <v>2.97</v>
      </c>
      <c r="G77" s="238">
        <v>3.89</v>
      </c>
      <c r="H77" s="261"/>
      <c r="I77" s="243">
        <v>0</v>
      </c>
      <c r="J77" s="243">
        <v>0</v>
      </c>
      <c r="K77" s="243">
        <v>0</v>
      </c>
      <c r="L77" s="243">
        <v>2.97</v>
      </c>
      <c r="M77" s="243">
        <v>2.97</v>
      </c>
      <c r="N77" s="243">
        <v>0</v>
      </c>
      <c r="O77" s="243">
        <v>0</v>
      </c>
      <c r="P77" s="243">
        <v>0</v>
      </c>
      <c r="Q77" s="243">
        <v>0</v>
      </c>
      <c r="R77" s="243">
        <v>0</v>
      </c>
      <c r="S77" s="243">
        <v>0</v>
      </c>
      <c r="T77" s="243">
        <v>0</v>
      </c>
      <c r="U77" s="263">
        <f>SUM(I77:T77)</f>
        <v>5.94</v>
      </c>
      <c r="W77" s="264">
        <f t="shared" si="46"/>
        <v>0</v>
      </c>
      <c r="X77" s="264">
        <f t="shared" si="47"/>
        <v>0</v>
      </c>
      <c r="Y77" s="264">
        <f t="shared" si="48"/>
        <v>0</v>
      </c>
      <c r="Z77" s="264">
        <f t="shared" si="49"/>
        <v>1</v>
      </c>
      <c r="AA77" s="264">
        <f t="shared" si="50"/>
        <v>1</v>
      </c>
      <c r="AB77" s="264">
        <f t="shared" si="51"/>
        <v>0</v>
      </c>
      <c r="AC77" s="264">
        <f t="shared" si="52"/>
        <v>0</v>
      </c>
      <c r="AD77" s="264">
        <f t="shared" si="53"/>
        <v>0</v>
      </c>
      <c r="AE77" s="264">
        <f t="shared" si="54"/>
        <v>0</v>
      </c>
      <c r="AF77" s="264">
        <f t="shared" si="55"/>
        <v>0</v>
      </c>
      <c r="AG77" s="264">
        <f t="shared" si="56"/>
        <v>0</v>
      </c>
      <c r="AH77" s="264">
        <f t="shared" si="57"/>
        <v>0</v>
      </c>
      <c r="AI77" s="265">
        <f>+IFERROR(AVERAGE(W77:AH77),0)</f>
        <v>0.16666666666666666</v>
      </c>
      <c r="AJ77" s="266">
        <f>SUM(W77:AH77)</f>
        <v>2</v>
      </c>
      <c r="AN77" s="241">
        <v>1</v>
      </c>
      <c r="AO77" s="240">
        <f t="shared" si="60"/>
        <v>0.16666666666666666</v>
      </c>
      <c r="AP77" s="241">
        <v>0</v>
      </c>
      <c r="AQ77" s="240">
        <f t="shared" si="61"/>
        <v>0</v>
      </c>
      <c r="AR77" s="241">
        <v>0</v>
      </c>
      <c r="AS77" s="240">
        <f t="shared" si="62"/>
        <v>0</v>
      </c>
      <c r="AT77" s="241">
        <v>0</v>
      </c>
      <c r="AU77" s="240">
        <f>+$AI77*AT77</f>
        <v>0</v>
      </c>
    </row>
    <row r="78" spans="2:47" s="253" customFormat="1" x14ac:dyDescent="0.2">
      <c r="B78" s="241" t="str">
        <f>"Vanc"&amp;"residential"&amp;C78</f>
        <v>VancresidentialCRREC48</v>
      </c>
      <c r="C78" s="232" t="s">
        <v>417</v>
      </c>
      <c r="D78" s="232" t="s">
        <v>426</v>
      </c>
      <c r="E78" s="238">
        <v>2.97</v>
      </c>
      <c r="F78" s="238">
        <v>2.97</v>
      </c>
      <c r="G78" s="238">
        <v>3.89</v>
      </c>
      <c r="H78" s="261"/>
      <c r="I78" s="243">
        <v>0</v>
      </c>
      <c r="J78" s="243">
        <v>2.2250000000000001</v>
      </c>
      <c r="K78" s="243">
        <v>2.2250000000000001</v>
      </c>
      <c r="L78" s="243">
        <v>0</v>
      </c>
      <c r="M78" s="243">
        <v>0</v>
      </c>
      <c r="N78" s="243">
        <v>0</v>
      </c>
      <c r="O78" s="243">
        <v>0</v>
      </c>
      <c r="P78" s="243">
        <v>0</v>
      </c>
      <c r="Q78" s="243">
        <v>0</v>
      </c>
      <c r="R78" s="243">
        <v>0</v>
      </c>
      <c r="S78" s="243">
        <v>0</v>
      </c>
      <c r="T78" s="243">
        <v>0</v>
      </c>
      <c r="U78" s="263">
        <f>SUM(I78:T78)</f>
        <v>4.45</v>
      </c>
      <c r="W78" s="264">
        <f t="shared" si="46"/>
        <v>0</v>
      </c>
      <c r="X78" s="264">
        <f t="shared" si="47"/>
        <v>0.74915824915824913</v>
      </c>
      <c r="Y78" s="264">
        <f t="shared" si="48"/>
        <v>0.74915824915824913</v>
      </c>
      <c r="Z78" s="264">
        <f t="shared" si="49"/>
        <v>0</v>
      </c>
      <c r="AA78" s="264">
        <f t="shared" si="50"/>
        <v>0</v>
      </c>
      <c r="AB78" s="264">
        <f t="shared" si="51"/>
        <v>0</v>
      </c>
      <c r="AC78" s="264">
        <f t="shared" si="52"/>
        <v>0</v>
      </c>
      <c r="AD78" s="264">
        <f t="shared" si="53"/>
        <v>0</v>
      </c>
      <c r="AE78" s="264">
        <f t="shared" si="54"/>
        <v>0</v>
      </c>
      <c r="AF78" s="264">
        <f t="shared" si="55"/>
        <v>0</v>
      </c>
      <c r="AG78" s="264">
        <f t="shared" si="56"/>
        <v>0</v>
      </c>
      <c r="AH78" s="264">
        <f t="shared" si="57"/>
        <v>0</v>
      </c>
      <c r="AI78" s="265">
        <f>+IFERROR(AVERAGE(W78:AH78),0)</f>
        <v>0.12485970819304153</v>
      </c>
      <c r="AJ78" s="266">
        <f>SUM(W78:AH78)</f>
        <v>1.4983164983164983</v>
      </c>
      <c r="AN78" s="241">
        <v>1</v>
      </c>
      <c r="AO78" s="240">
        <f t="shared" si="60"/>
        <v>0.12485970819304153</v>
      </c>
      <c r="AP78" s="241">
        <v>0</v>
      </c>
      <c r="AQ78" s="240">
        <f t="shared" si="61"/>
        <v>0</v>
      </c>
      <c r="AR78" s="241">
        <v>0</v>
      </c>
      <c r="AS78" s="240">
        <f t="shared" si="62"/>
        <v>0</v>
      </c>
      <c r="AT78" s="241">
        <v>0</v>
      </c>
      <c r="AU78" s="240">
        <f>+$AI78*AT78</f>
        <v>0</v>
      </c>
    </row>
    <row r="79" spans="2:47" s="253" customFormat="1" x14ac:dyDescent="0.2">
      <c r="B79" s="241" t="str">
        <f t="shared" si="44"/>
        <v>VancresidentialCRREC65</v>
      </c>
      <c r="C79" s="232" t="s">
        <v>418</v>
      </c>
      <c r="D79" s="232" t="s">
        <v>427</v>
      </c>
      <c r="E79" s="238">
        <v>2.97</v>
      </c>
      <c r="F79" s="238">
        <v>2.97</v>
      </c>
      <c r="G79" s="238">
        <v>3.89</v>
      </c>
      <c r="H79" s="261"/>
      <c r="I79" s="243">
        <v>0.74</v>
      </c>
      <c r="J79" s="243">
        <v>-1.07</v>
      </c>
      <c r="K79" s="243">
        <v>0</v>
      </c>
      <c r="L79" s="243">
        <v>-0.27000000000000046</v>
      </c>
      <c r="M79" s="243">
        <v>6.68</v>
      </c>
      <c r="N79" s="243">
        <v>0</v>
      </c>
      <c r="O79" s="243">
        <v>0</v>
      </c>
      <c r="P79" s="243">
        <v>0</v>
      </c>
      <c r="Q79" s="243">
        <v>0</v>
      </c>
      <c r="R79" s="243">
        <v>0</v>
      </c>
      <c r="S79" s="243">
        <v>0</v>
      </c>
      <c r="T79" s="243">
        <v>0</v>
      </c>
      <c r="U79" s="263">
        <f t="shared" si="45"/>
        <v>6.0799999999999992</v>
      </c>
      <c r="W79" s="264">
        <f t="shared" si="46"/>
        <v>0.24915824915824913</v>
      </c>
      <c r="X79" s="264">
        <f t="shared" si="47"/>
        <v>-0.36026936026936024</v>
      </c>
      <c r="Y79" s="264">
        <f t="shared" si="48"/>
        <v>0</v>
      </c>
      <c r="Z79" s="264">
        <f t="shared" si="49"/>
        <v>-9.0909090909091064E-2</v>
      </c>
      <c r="AA79" s="264">
        <f t="shared" si="50"/>
        <v>2.2491582491582491</v>
      </c>
      <c r="AB79" s="264">
        <f t="shared" si="51"/>
        <v>0</v>
      </c>
      <c r="AC79" s="264">
        <f t="shared" si="52"/>
        <v>0</v>
      </c>
      <c r="AD79" s="264">
        <f t="shared" si="53"/>
        <v>0</v>
      </c>
      <c r="AE79" s="264">
        <f t="shared" si="54"/>
        <v>0</v>
      </c>
      <c r="AF79" s="264">
        <f t="shared" si="55"/>
        <v>0</v>
      </c>
      <c r="AG79" s="264">
        <f t="shared" si="56"/>
        <v>0</v>
      </c>
      <c r="AH79" s="264">
        <f t="shared" si="57"/>
        <v>0</v>
      </c>
      <c r="AI79" s="265">
        <f t="shared" si="58"/>
        <v>0.17059483726150393</v>
      </c>
      <c r="AJ79" s="266">
        <f t="shared" si="59"/>
        <v>2.0471380471380471</v>
      </c>
      <c r="AN79" s="241">
        <v>1</v>
      </c>
      <c r="AO79" s="240">
        <f t="shared" si="60"/>
        <v>0.17059483726150393</v>
      </c>
      <c r="AP79" s="241">
        <v>0</v>
      </c>
      <c r="AQ79" s="240">
        <f t="shared" si="61"/>
        <v>0</v>
      </c>
      <c r="AR79" s="241">
        <v>0</v>
      </c>
      <c r="AS79" s="240">
        <f t="shared" si="62"/>
        <v>0</v>
      </c>
      <c r="AT79" s="241">
        <v>0</v>
      </c>
      <c r="AU79" s="240">
        <f t="shared" si="63"/>
        <v>0</v>
      </c>
    </row>
    <row r="80" spans="2:47" s="253" customFormat="1" x14ac:dyDescent="0.2">
      <c r="B80" s="241" t="str">
        <f t="shared" si="44"/>
        <v>VancresidentialVRREC95</v>
      </c>
      <c r="C80" s="232" t="s">
        <v>780</v>
      </c>
      <c r="D80" s="232" t="s">
        <v>785</v>
      </c>
      <c r="E80" s="238">
        <v>2.97</v>
      </c>
      <c r="F80" s="238">
        <v>2.97</v>
      </c>
      <c r="G80" s="238">
        <v>3.89</v>
      </c>
      <c r="H80" s="261"/>
      <c r="I80" s="243">
        <v>129201.26999999999</v>
      </c>
      <c r="J80" s="243">
        <v>130167.59999999999</v>
      </c>
      <c r="K80" s="243">
        <v>129869.48</v>
      </c>
      <c r="L80" s="243">
        <v>130399.16499999999</v>
      </c>
      <c r="M80" s="243">
        <v>129785.155</v>
      </c>
      <c r="N80" s="243">
        <v>130121.01</v>
      </c>
      <c r="O80" s="243">
        <v>129563.68</v>
      </c>
      <c r="P80" s="243">
        <v>129666.545</v>
      </c>
      <c r="Q80" s="243">
        <v>129226.83500000001</v>
      </c>
      <c r="R80" s="243">
        <v>169289.51</v>
      </c>
      <c r="S80" s="243">
        <v>168783.99000000002</v>
      </c>
      <c r="T80" s="243">
        <v>169800.6</v>
      </c>
      <c r="U80" s="263">
        <f t="shared" si="45"/>
        <v>1675874.84</v>
      </c>
      <c r="W80" s="264">
        <f t="shared" si="46"/>
        <v>43502.111111111102</v>
      </c>
      <c r="X80" s="264">
        <f t="shared" si="47"/>
        <v>43827.474747474742</v>
      </c>
      <c r="Y80" s="264">
        <f t="shared" si="48"/>
        <v>43727.097643097637</v>
      </c>
      <c r="Z80" s="264">
        <f t="shared" si="49"/>
        <v>43905.442760942758</v>
      </c>
      <c r="AA80" s="264">
        <f t="shared" si="50"/>
        <v>43698.705387205388</v>
      </c>
      <c r="AB80" s="264">
        <f t="shared" si="51"/>
        <v>43811.787878787873</v>
      </c>
      <c r="AC80" s="264">
        <f t="shared" si="52"/>
        <v>43624.134680134674</v>
      </c>
      <c r="AD80" s="264">
        <f t="shared" si="53"/>
        <v>43658.769360269354</v>
      </c>
      <c r="AE80" s="264">
        <f t="shared" si="54"/>
        <v>43510.718855218853</v>
      </c>
      <c r="AF80" s="264">
        <f t="shared" si="55"/>
        <v>43519.154241645243</v>
      </c>
      <c r="AG80" s="264">
        <f t="shared" si="56"/>
        <v>43389.200514138822</v>
      </c>
      <c r="AH80" s="264">
        <f t="shared" si="57"/>
        <v>43650.539845758358</v>
      </c>
      <c r="AI80" s="265">
        <f t="shared" si="58"/>
        <v>43652.094752148725</v>
      </c>
      <c r="AJ80" s="266">
        <f t="shared" si="59"/>
        <v>523825.1370257847</v>
      </c>
      <c r="AN80" s="241">
        <v>1</v>
      </c>
      <c r="AO80" s="240">
        <f t="shared" si="60"/>
        <v>43652.094752148725</v>
      </c>
      <c r="AP80" s="241">
        <v>0</v>
      </c>
      <c r="AQ80" s="240">
        <f t="shared" si="61"/>
        <v>0</v>
      </c>
      <c r="AR80" s="241">
        <v>0</v>
      </c>
      <c r="AS80" s="240">
        <f t="shared" si="62"/>
        <v>0</v>
      </c>
      <c r="AT80" s="241">
        <v>0</v>
      </c>
      <c r="AU80" s="240">
        <f t="shared" si="63"/>
        <v>0</v>
      </c>
    </row>
    <row r="81" spans="2:47" s="253" customFormat="1" x14ac:dyDescent="0.2">
      <c r="B81" s="241" t="str">
        <f t="shared" si="44"/>
        <v>VancresidentialCRREC95</v>
      </c>
      <c r="C81" s="232" t="s">
        <v>419</v>
      </c>
      <c r="D81" s="232" t="s">
        <v>428</v>
      </c>
      <c r="E81" s="238">
        <v>2.97</v>
      </c>
      <c r="F81" s="238">
        <v>2.97</v>
      </c>
      <c r="G81" s="238">
        <v>3.89</v>
      </c>
      <c r="H81" s="261"/>
      <c r="I81" s="243">
        <v>0</v>
      </c>
      <c r="J81" s="243">
        <v>2.6399999999999997</v>
      </c>
      <c r="K81" s="243">
        <v>-11.68</v>
      </c>
      <c r="L81" s="243">
        <v>17.07</v>
      </c>
      <c r="M81" s="243">
        <v>11.120000000000001</v>
      </c>
      <c r="N81" s="243">
        <v>-1.25</v>
      </c>
      <c r="O81" s="243">
        <v>-5.2100000000000009</v>
      </c>
      <c r="P81" s="243">
        <v>0</v>
      </c>
      <c r="Q81" s="243">
        <v>-8.91</v>
      </c>
      <c r="R81" s="243">
        <v>-1.4999999999999902E-2</v>
      </c>
      <c r="S81" s="243">
        <v>-1.9549999999999998</v>
      </c>
      <c r="T81" s="243">
        <v>0</v>
      </c>
      <c r="U81" s="263">
        <f t="shared" si="45"/>
        <v>1.8100000000000016</v>
      </c>
      <c r="W81" s="264">
        <f t="shared" si="46"/>
        <v>0</v>
      </c>
      <c r="X81" s="264">
        <f t="shared" si="47"/>
        <v>0.88888888888888873</v>
      </c>
      <c r="Y81" s="264">
        <f t="shared" si="48"/>
        <v>-3.9326599326599325</v>
      </c>
      <c r="Z81" s="264">
        <f t="shared" si="49"/>
        <v>5.7474747474747474</v>
      </c>
      <c r="AA81" s="264">
        <f t="shared" si="50"/>
        <v>3.7441077441077444</v>
      </c>
      <c r="AB81" s="264">
        <f t="shared" si="51"/>
        <v>-0.42087542087542085</v>
      </c>
      <c r="AC81" s="264">
        <f t="shared" si="52"/>
        <v>-1.7542087542087543</v>
      </c>
      <c r="AD81" s="264">
        <f t="shared" si="53"/>
        <v>0</v>
      </c>
      <c r="AE81" s="264">
        <f t="shared" si="54"/>
        <v>-3</v>
      </c>
      <c r="AF81" s="264">
        <f t="shared" si="55"/>
        <v>-3.8560411311053732E-3</v>
      </c>
      <c r="AG81" s="264">
        <f t="shared" si="56"/>
        <v>-0.50257069408740351</v>
      </c>
      <c r="AH81" s="264">
        <f t="shared" si="57"/>
        <v>0</v>
      </c>
      <c r="AI81" s="265">
        <f t="shared" si="58"/>
        <v>6.3858378125730378E-2</v>
      </c>
      <c r="AJ81" s="266">
        <f t="shared" si="59"/>
        <v>0.76630053750876459</v>
      </c>
      <c r="AN81" s="241">
        <v>1</v>
      </c>
      <c r="AO81" s="240">
        <f t="shared" si="60"/>
        <v>6.3858378125730378E-2</v>
      </c>
      <c r="AP81" s="241">
        <v>0</v>
      </c>
      <c r="AQ81" s="240">
        <f t="shared" si="61"/>
        <v>0</v>
      </c>
      <c r="AR81" s="241">
        <v>0</v>
      </c>
      <c r="AS81" s="240">
        <f t="shared" si="62"/>
        <v>0</v>
      </c>
      <c r="AT81" s="241">
        <v>0</v>
      </c>
      <c r="AU81" s="240">
        <f t="shared" si="63"/>
        <v>0</v>
      </c>
    </row>
    <row r="82" spans="2:47" s="253" customFormat="1" x14ac:dyDescent="0.2">
      <c r="B82" s="241" t="str">
        <f t="shared" si="44"/>
        <v>VancresidentialRRCRENT35</v>
      </c>
      <c r="C82" s="232" t="s">
        <v>1262</v>
      </c>
      <c r="D82" s="232" t="s">
        <v>1263</v>
      </c>
      <c r="E82" s="238">
        <v>1.69</v>
      </c>
      <c r="F82" s="238">
        <v>1.69</v>
      </c>
      <c r="G82" s="238">
        <v>1.69</v>
      </c>
      <c r="H82" s="261"/>
      <c r="I82" s="243">
        <v>27.04</v>
      </c>
      <c r="J82" s="243">
        <v>27.04</v>
      </c>
      <c r="K82" s="243">
        <v>27.04</v>
      </c>
      <c r="L82" s="243">
        <v>27.04</v>
      </c>
      <c r="M82" s="243">
        <v>27.04</v>
      </c>
      <c r="N82" s="243">
        <v>27.04</v>
      </c>
      <c r="O82" s="243">
        <v>27.04</v>
      </c>
      <c r="P82" s="243">
        <v>27.04</v>
      </c>
      <c r="Q82" s="243">
        <v>27.04</v>
      </c>
      <c r="R82" s="243">
        <v>27.04</v>
      </c>
      <c r="S82" s="243">
        <v>27.04</v>
      </c>
      <c r="T82" s="243">
        <v>27.04</v>
      </c>
      <c r="U82" s="263">
        <f t="shared" si="45"/>
        <v>324.48</v>
      </c>
      <c r="W82" s="264">
        <f t="shared" si="46"/>
        <v>16</v>
      </c>
      <c r="X82" s="264">
        <f t="shared" si="47"/>
        <v>16</v>
      </c>
      <c r="Y82" s="264">
        <f t="shared" si="48"/>
        <v>16</v>
      </c>
      <c r="Z82" s="264">
        <f t="shared" si="49"/>
        <v>16</v>
      </c>
      <c r="AA82" s="264">
        <f t="shared" si="50"/>
        <v>16</v>
      </c>
      <c r="AB82" s="264">
        <f t="shared" si="51"/>
        <v>16</v>
      </c>
      <c r="AC82" s="264">
        <f t="shared" si="52"/>
        <v>16</v>
      </c>
      <c r="AD82" s="264">
        <f t="shared" si="53"/>
        <v>16</v>
      </c>
      <c r="AE82" s="264">
        <f t="shared" si="54"/>
        <v>16</v>
      </c>
      <c r="AF82" s="264">
        <f t="shared" si="55"/>
        <v>16</v>
      </c>
      <c r="AG82" s="264">
        <f t="shared" si="56"/>
        <v>16</v>
      </c>
      <c r="AH82" s="264">
        <f t="shared" si="57"/>
        <v>16</v>
      </c>
      <c r="AI82" s="265">
        <f t="shared" si="58"/>
        <v>16</v>
      </c>
      <c r="AJ82" s="266">
        <f t="shared" si="59"/>
        <v>192</v>
      </c>
      <c r="AN82" s="241">
        <v>1</v>
      </c>
      <c r="AO82" s="240">
        <f t="shared" si="60"/>
        <v>16</v>
      </c>
      <c r="AP82" s="241">
        <v>0</v>
      </c>
      <c r="AQ82" s="240">
        <f t="shared" si="61"/>
        <v>0</v>
      </c>
      <c r="AR82" s="241">
        <v>0</v>
      </c>
      <c r="AS82" s="240">
        <f t="shared" si="62"/>
        <v>0</v>
      </c>
      <c r="AT82" s="241">
        <v>0</v>
      </c>
      <c r="AU82" s="240">
        <f t="shared" si="63"/>
        <v>0</v>
      </c>
    </row>
    <row r="83" spans="2:47" s="253" customFormat="1" x14ac:dyDescent="0.2">
      <c r="B83" s="241" t="str">
        <f t="shared" si="44"/>
        <v>VancresidentialRRCRENT64</v>
      </c>
      <c r="C83" s="232" t="s">
        <v>1264</v>
      </c>
      <c r="D83" s="232" t="s">
        <v>1265</v>
      </c>
      <c r="E83" s="238">
        <v>1.72</v>
      </c>
      <c r="F83" s="238">
        <v>1.72</v>
      </c>
      <c r="G83" s="238">
        <v>1.72</v>
      </c>
      <c r="H83" s="261"/>
      <c r="I83" s="243">
        <v>46.44</v>
      </c>
      <c r="J83" s="243">
        <v>46.44</v>
      </c>
      <c r="K83" s="243">
        <v>46.44</v>
      </c>
      <c r="L83" s="243">
        <v>46.44</v>
      </c>
      <c r="M83" s="243">
        <v>46.44</v>
      </c>
      <c r="N83" s="243">
        <v>46.44</v>
      </c>
      <c r="O83" s="243">
        <v>46.44</v>
      </c>
      <c r="P83" s="243">
        <v>46.44</v>
      </c>
      <c r="Q83" s="243">
        <v>46.44</v>
      </c>
      <c r="R83" s="243">
        <v>46.44</v>
      </c>
      <c r="S83" s="243">
        <v>46.44</v>
      </c>
      <c r="T83" s="243">
        <v>46.44</v>
      </c>
      <c r="U83" s="263">
        <f t="shared" si="45"/>
        <v>557.28</v>
      </c>
      <c r="W83" s="264">
        <f t="shared" si="46"/>
        <v>27</v>
      </c>
      <c r="X83" s="264">
        <f t="shared" si="47"/>
        <v>27</v>
      </c>
      <c r="Y83" s="264">
        <f t="shared" si="48"/>
        <v>27</v>
      </c>
      <c r="Z83" s="264">
        <f t="shared" si="49"/>
        <v>27</v>
      </c>
      <c r="AA83" s="264">
        <f t="shared" si="50"/>
        <v>27</v>
      </c>
      <c r="AB83" s="264">
        <f t="shared" si="51"/>
        <v>27</v>
      </c>
      <c r="AC83" s="264">
        <f t="shared" si="52"/>
        <v>27</v>
      </c>
      <c r="AD83" s="264">
        <f t="shared" si="53"/>
        <v>27</v>
      </c>
      <c r="AE83" s="264">
        <f t="shared" si="54"/>
        <v>27</v>
      </c>
      <c r="AF83" s="264">
        <f t="shared" si="55"/>
        <v>27</v>
      </c>
      <c r="AG83" s="264">
        <f t="shared" si="56"/>
        <v>27</v>
      </c>
      <c r="AH83" s="264">
        <f t="shared" si="57"/>
        <v>27</v>
      </c>
      <c r="AI83" s="265">
        <f t="shared" si="58"/>
        <v>27</v>
      </c>
      <c r="AJ83" s="266">
        <f t="shared" si="59"/>
        <v>324</v>
      </c>
      <c r="AN83" s="241">
        <v>1</v>
      </c>
      <c r="AO83" s="240">
        <f t="shared" si="60"/>
        <v>27</v>
      </c>
      <c r="AP83" s="241">
        <v>0</v>
      </c>
      <c r="AQ83" s="240">
        <f t="shared" si="61"/>
        <v>0</v>
      </c>
      <c r="AR83" s="241">
        <v>0</v>
      </c>
      <c r="AS83" s="240">
        <f t="shared" si="62"/>
        <v>0</v>
      </c>
      <c r="AT83" s="241">
        <v>0</v>
      </c>
      <c r="AU83" s="240">
        <f t="shared" si="63"/>
        <v>0</v>
      </c>
    </row>
    <row r="84" spans="2:47" s="253" customFormat="1" x14ac:dyDescent="0.2">
      <c r="B84" s="241" t="str">
        <f t="shared" si="44"/>
        <v>VancresidentialRRREC</v>
      </c>
      <c r="C84" s="232" t="s">
        <v>682</v>
      </c>
      <c r="D84" s="232" t="s">
        <v>683</v>
      </c>
      <c r="E84" s="238">
        <v>1.4850000000000001</v>
      </c>
      <c r="F84" s="238">
        <v>1.4850000000000001</v>
      </c>
      <c r="G84" s="238">
        <v>1.9450000000000001</v>
      </c>
      <c r="H84" s="261"/>
      <c r="I84" s="243">
        <v>231.66</v>
      </c>
      <c r="J84" s="243">
        <v>231.66</v>
      </c>
      <c r="K84" s="243">
        <v>231.66</v>
      </c>
      <c r="L84" s="243">
        <v>231.66</v>
      </c>
      <c r="M84" s="243">
        <v>231.66</v>
      </c>
      <c r="N84" s="243">
        <v>225.72</v>
      </c>
      <c r="O84" s="243">
        <v>225.72</v>
      </c>
      <c r="P84" s="243">
        <v>225.72</v>
      </c>
      <c r="Q84" s="243">
        <v>225.72</v>
      </c>
      <c r="R84" s="243">
        <v>287.86</v>
      </c>
      <c r="S84" s="243">
        <v>287.86</v>
      </c>
      <c r="T84" s="243">
        <v>287.86</v>
      </c>
      <c r="U84" s="263">
        <f t="shared" si="45"/>
        <v>2924.76</v>
      </c>
      <c r="W84" s="264">
        <f t="shared" si="46"/>
        <v>156</v>
      </c>
      <c r="X84" s="264">
        <f t="shared" si="47"/>
        <v>156</v>
      </c>
      <c r="Y84" s="264">
        <f t="shared" si="48"/>
        <v>156</v>
      </c>
      <c r="Z84" s="264">
        <f t="shared" si="49"/>
        <v>156</v>
      </c>
      <c r="AA84" s="264">
        <f t="shared" si="50"/>
        <v>156</v>
      </c>
      <c r="AB84" s="264">
        <f t="shared" si="51"/>
        <v>152</v>
      </c>
      <c r="AC84" s="264">
        <f t="shared" si="52"/>
        <v>152</v>
      </c>
      <c r="AD84" s="264">
        <f t="shared" si="53"/>
        <v>152</v>
      </c>
      <c r="AE84" s="264">
        <f t="shared" si="54"/>
        <v>152</v>
      </c>
      <c r="AF84" s="264">
        <f t="shared" si="55"/>
        <v>148</v>
      </c>
      <c r="AG84" s="264">
        <f t="shared" si="56"/>
        <v>148</v>
      </c>
      <c r="AH84" s="264">
        <f t="shared" si="57"/>
        <v>148</v>
      </c>
      <c r="AI84" s="265">
        <f t="shared" si="58"/>
        <v>152.66666666666666</v>
      </c>
      <c r="AJ84" s="266">
        <f t="shared" si="59"/>
        <v>1832</v>
      </c>
      <c r="AN84" s="241">
        <v>1</v>
      </c>
      <c r="AO84" s="240">
        <f t="shared" si="60"/>
        <v>152.66666666666666</v>
      </c>
      <c r="AP84" s="241">
        <v>0</v>
      </c>
      <c r="AQ84" s="240">
        <f t="shared" si="61"/>
        <v>0</v>
      </c>
      <c r="AR84" s="241">
        <v>0</v>
      </c>
      <c r="AS84" s="240">
        <f t="shared" si="62"/>
        <v>0</v>
      </c>
      <c r="AT84" s="241">
        <v>0</v>
      </c>
      <c r="AU84" s="240">
        <f t="shared" si="63"/>
        <v>0</v>
      </c>
    </row>
    <row r="85" spans="2:47" s="253" customFormat="1" x14ac:dyDescent="0.2">
      <c r="B85" s="241" t="str">
        <f t="shared" ref="B85:B90" si="64">"Vanc"&amp;"residential"&amp;C85</f>
        <v>VancresidentialWRREC95</v>
      </c>
      <c r="C85" s="253" t="s">
        <v>948</v>
      </c>
      <c r="D85" s="253" t="s">
        <v>950</v>
      </c>
      <c r="E85" s="238">
        <v>2.97</v>
      </c>
      <c r="F85" s="238">
        <v>2.97</v>
      </c>
      <c r="G85" s="238">
        <v>3.89</v>
      </c>
      <c r="H85" s="261"/>
      <c r="I85" s="243">
        <v>0</v>
      </c>
      <c r="J85" s="243">
        <v>0</v>
      </c>
      <c r="K85" s="243">
        <v>0</v>
      </c>
      <c r="L85" s="243">
        <v>0</v>
      </c>
      <c r="M85" s="243">
        <v>0</v>
      </c>
      <c r="N85" s="243">
        <v>0</v>
      </c>
      <c r="O85" s="243">
        <v>0</v>
      </c>
      <c r="P85" s="243">
        <v>0</v>
      </c>
      <c r="Q85" s="243">
        <v>0</v>
      </c>
      <c r="R85" s="243">
        <v>0</v>
      </c>
      <c r="S85" s="243">
        <v>0</v>
      </c>
      <c r="T85" s="243">
        <v>0</v>
      </c>
      <c r="U85" s="263">
        <f t="shared" si="45"/>
        <v>0</v>
      </c>
      <c r="W85" s="264">
        <f t="shared" si="46"/>
        <v>0</v>
      </c>
      <c r="X85" s="264">
        <f t="shared" si="47"/>
        <v>0</v>
      </c>
      <c r="Y85" s="264">
        <f t="shared" si="48"/>
        <v>0</v>
      </c>
      <c r="Z85" s="264">
        <f t="shared" si="49"/>
        <v>0</v>
      </c>
      <c r="AA85" s="264">
        <f t="shared" si="50"/>
        <v>0</v>
      </c>
      <c r="AB85" s="264">
        <f t="shared" si="51"/>
        <v>0</v>
      </c>
      <c r="AC85" s="264">
        <f t="shared" si="52"/>
        <v>0</v>
      </c>
      <c r="AD85" s="264">
        <f t="shared" si="53"/>
        <v>0</v>
      </c>
      <c r="AE85" s="264">
        <f t="shared" si="54"/>
        <v>0</v>
      </c>
      <c r="AF85" s="264">
        <f t="shared" si="55"/>
        <v>0</v>
      </c>
      <c r="AG85" s="264">
        <f t="shared" si="56"/>
        <v>0</v>
      </c>
      <c r="AH85" s="264">
        <f t="shared" si="57"/>
        <v>0</v>
      </c>
      <c r="AI85" s="265">
        <f t="shared" si="58"/>
        <v>0</v>
      </c>
      <c r="AJ85" s="266">
        <f t="shared" si="59"/>
        <v>0</v>
      </c>
      <c r="AN85" s="241">
        <v>1</v>
      </c>
      <c r="AO85" s="240">
        <f t="shared" si="60"/>
        <v>0</v>
      </c>
      <c r="AP85" s="241">
        <v>0</v>
      </c>
      <c r="AQ85" s="240">
        <f t="shared" si="61"/>
        <v>0</v>
      </c>
      <c r="AR85" s="241">
        <v>0</v>
      </c>
      <c r="AS85" s="240">
        <f t="shared" si="62"/>
        <v>0</v>
      </c>
      <c r="AT85" s="241">
        <v>0</v>
      </c>
      <c r="AU85" s="240">
        <f t="shared" si="63"/>
        <v>0</v>
      </c>
    </row>
    <row r="86" spans="2:47" s="253" customFormat="1" x14ac:dyDescent="0.2">
      <c r="B86" s="241" t="str">
        <f>"Vanc"&amp;"residential"&amp;C86</f>
        <v>VancresidentialRPLUS</v>
      </c>
      <c r="C86" s="253" t="s">
        <v>1297</v>
      </c>
      <c r="D86" s="253" t="s">
        <v>1298</v>
      </c>
      <c r="E86" s="238">
        <v>10</v>
      </c>
      <c r="F86" s="238">
        <v>10</v>
      </c>
      <c r="G86" s="238">
        <v>12</v>
      </c>
      <c r="H86" s="261"/>
      <c r="I86" s="243">
        <v>6124.5</v>
      </c>
      <c r="J86" s="243">
        <v>6189.5</v>
      </c>
      <c r="K86" s="243">
        <v>6169.5</v>
      </c>
      <c r="L86" s="243">
        <v>6094.5</v>
      </c>
      <c r="M86" s="243">
        <v>6169.5</v>
      </c>
      <c r="N86" s="243">
        <v>6267</v>
      </c>
      <c r="O86" s="243">
        <v>6237</v>
      </c>
      <c r="P86" s="243">
        <v>6209.5</v>
      </c>
      <c r="Q86" s="243">
        <v>5899.5</v>
      </c>
      <c r="R86" s="243">
        <v>7634.75</v>
      </c>
      <c r="S86" s="243">
        <v>7648.75</v>
      </c>
      <c r="T86" s="243">
        <v>7673.25</v>
      </c>
      <c r="U86" s="263">
        <f>SUM(I86:T86)</f>
        <v>78317.25</v>
      </c>
      <c r="W86" s="264">
        <f t="shared" si="46"/>
        <v>612.45000000000005</v>
      </c>
      <c r="X86" s="264">
        <f t="shared" si="47"/>
        <v>618.95000000000005</v>
      </c>
      <c r="Y86" s="264">
        <f t="shared" si="48"/>
        <v>616.95000000000005</v>
      </c>
      <c r="Z86" s="264">
        <f t="shared" si="49"/>
        <v>609.45000000000005</v>
      </c>
      <c r="AA86" s="264">
        <f t="shared" si="50"/>
        <v>616.95000000000005</v>
      </c>
      <c r="AB86" s="264">
        <f t="shared" si="51"/>
        <v>626.70000000000005</v>
      </c>
      <c r="AC86" s="264">
        <f t="shared" si="52"/>
        <v>623.70000000000005</v>
      </c>
      <c r="AD86" s="264">
        <f t="shared" si="53"/>
        <v>620.95000000000005</v>
      </c>
      <c r="AE86" s="264">
        <f t="shared" si="54"/>
        <v>589.95000000000005</v>
      </c>
      <c r="AF86" s="264">
        <f t="shared" si="55"/>
        <v>636.22916666666663</v>
      </c>
      <c r="AG86" s="264">
        <f t="shared" si="56"/>
        <v>637.39583333333337</v>
      </c>
      <c r="AH86" s="264">
        <f t="shared" si="57"/>
        <v>639.4375</v>
      </c>
      <c r="AI86" s="265">
        <f>+IFERROR(AVERAGE(W86:AH86),0)</f>
        <v>620.75937499999998</v>
      </c>
      <c r="AJ86" s="266">
        <f>SUM(W86:AH86)</f>
        <v>7449.1124999999993</v>
      </c>
    </row>
    <row r="87" spans="2:47" s="45" customFormat="1" x14ac:dyDescent="0.2">
      <c r="B87" s="1" t="str">
        <f t="shared" si="64"/>
        <v>VancresidentialRPSMO</v>
      </c>
      <c r="C87" s="45" t="s">
        <v>1183</v>
      </c>
      <c r="D87" s="45" t="s">
        <v>1366</v>
      </c>
      <c r="E87" s="11">
        <v>0.87</v>
      </c>
      <c r="F87" s="11">
        <v>0.87</v>
      </c>
      <c r="G87" s="11">
        <v>1.41</v>
      </c>
      <c r="H87" s="55"/>
      <c r="I87" s="14">
        <v>67.86</v>
      </c>
      <c r="J87" s="14">
        <v>67.86</v>
      </c>
      <c r="K87" s="14">
        <v>67.86</v>
      </c>
      <c r="L87" s="14">
        <v>67.86</v>
      </c>
      <c r="M87" s="14">
        <v>67.86</v>
      </c>
      <c r="N87" s="14">
        <v>66.12</v>
      </c>
      <c r="O87" s="14">
        <v>66.12</v>
      </c>
      <c r="P87" s="14">
        <v>66.12</v>
      </c>
      <c r="Q87" s="14">
        <v>66.12</v>
      </c>
      <c r="R87" s="14">
        <v>104.34</v>
      </c>
      <c r="S87" s="14">
        <v>104.34</v>
      </c>
      <c r="T87" s="14">
        <v>104.34</v>
      </c>
      <c r="U87" s="73">
        <f t="shared" si="45"/>
        <v>916.80000000000018</v>
      </c>
      <c r="W87" s="49">
        <f t="shared" si="46"/>
        <v>78</v>
      </c>
      <c r="X87" s="49">
        <f t="shared" si="47"/>
        <v>78</v>
      </c>
      <c r="Y87" s="49">
        <f t="shared" si="48"/>
        <v>78</v>
      </c>
      <c r="Z87" s="49">
        <f t="shared" si="49"/>
        <v>78</v>
      </c>
      <c r="AA87" s="49">
        <f t="shared" si="50"/>
        <v>78</v>
      </c>
      <c r="AB87" s="49">
        <f t="shared" si="51"/>
        <v>76</v>
      </c>
      <c r="AC87" s="49">
        <f t="shared" si="52"/>
        <v>76</v>
      </c>
      <c r="AD87" s="49">
        <f t="shared" si="53"/>
        <v>76</v>
      </c>
      <c r="AE87" s="49">
        <f t="shared" si="54"/>
        <v>76</v>
      </c>
      <c r="AF87" s="49">
        <f t="shared" si="55"/>
        <v>74</v>
      </c>
      <c r="AG87" s="49">
        <f t="shared" si="56"/>
        <v>74</v>
      </c>
      <c r="AH87" s="49">
        <f t="shared" si="57"/>
        <v>74</v>
      </c>
      <c r="AI87" s="47">
        <f t="shared" si="58"/>
        <v>76.333333333333329</v>
      </c>
      <c r="AJ87" s="134">
        <f t="shared" si="59"/>
        <v>916</v>
      </c>
    </row>
    <row r="88" spans="2:47" s="45" customFormat="1" ht="15" x14ac:dyDescent="0.25">
      <c r="B88" s="1" t="str">
        <f>"Vanc"&amp;"mULTIFAMILY"&amp;C88</f>
        <v>VancmULTIFAMILYRPSCR</v>
      </c>
      <c r="C88" s="60" t="s">
        <v>1279</v>
      </c>
      <c r="D88" s="60" t="s">
        <v>1280</v>
      </c>
      <c r="E88" s="11">
        <v>0</v>
      </c>
      <c r="F88" s="11">
        <v>0</v>
      </c>
      <c r="G88" s="11">
        <v>0</v>
      </c>
      <c r="H88" s="55"/>
      <c r="I88" s="14">
        <v>0</v>
      </c>
      <c r="J88" s="14">
        <v>0</v>
      </c>
      <c r="K88" s="14">
        <v>0</v>
      </c>
      <c r="L88" s="14">
        <v>0</v>
      </c>
      <c r="M88" s="14">
        <v>0</v>
      </c>
      <c r="N88" s="14">
        <v>0</v>
      </c>
      <c r="O88" s="14">
        <v>0</v>
      </c>
      <c r="P88" s="14">
        <v>0</v>
      </c>
      <c r="Q88" s="14">
        <v>0</v>
      </c>
      <c r="R88" s="14">
        <v>0</v>
      </c>
      <c r="S88" s="14">
        <v>0</v>
      </c>
      <c r="T88" s="14">
        <v>0</v>
      </c>
      <c r="U88" s="73">
        <f>SUM(I88:T88)</f>
        <v>0</v>
      </c>
      <c r="AI88" s="40"/>
      <c r="AJ88"/>
      <c r="AK88"/>
    </row>
    <row r="89" spans="2:47" s="45" customFormat="1" x14ac:dyDescent="0.2">
      <c r="B89" s="1" t="str">
        <f t="shared" si="64"/>
        <v>VancresidentialRPSBO</v>
      </c>
      <c r="C89" s="45" t="s">
        <v>1182</v>
      </c>
      <c r="D89" s="45" t="s">
        <v>1366</v>
      </c>
      <c r="E89" s="11">
        <v>0</v>
      </c>
      <c r="F89" s="11">
        <v>0</v>
      </c>
      <c r="G89" s="11">
        <v>0</v>
      </c>
      <c r="H89" s="55"/>
      <c r="I89" s="14">
        <v>5.28</v>
      </c>
      <c r="J89" s="14">
        <v>-5.7100000000000009</v>
      </c>
      <c r="K89" s="14">
        <v>12.040000000000001</v>
      </c>
      <c r="L89" s="14">
        <v>26.77</v>
      </c>
      <c r="M89" s="14">
        <v>-48.28</v>
      </c>
      <c r="N89" s="14">
        <v>0.41999999999999993</v>
      </c>
      <c r="O89" s="14">
        <v>-3.34</v>
      </c>
      <c r="P89" s="14">
        <v>1.48</v>
      </c>
      <c r="Q89" s="14">
        <v>-3.24</v>
      </c>
      <c r="R89" s="14">
        <v>0.48</v>
      </c>
      <c r="S89" s="14">
        <v>-5.23</v>
      </c>
      <c r="T89" s="14">
        <v>1.92</v>
      </c>
      <c r="U89" s="73">
        <f t="shared" si="45"/>
        <v>-17.410000000000004</v>
      </c>
      <c r="W89" s="49">
        <f t="shared" ref="W89:W94" si="65">IFERROR(I89/$E89,0)</f>
        <v>0</v>
      </c>
      <c r="X89" s="49">
        <f t="shared" ref="X89:X94" si="66">IFERROR(J89/$E89,0)</f>
        <v>0</v>
      </c>
      <c r="Y89" s="49">
        <f t="shared" ref="Y89:Y94" si="67">IFERROR(K89/$E89,0)</f>
        <v>0</v>
      </c>
      <c r="Z89" s="49">
        <f t="shared" ref="Z89:Z94" si="68">IFERROR(L89/$F89,0)</f>
        <v>0</v>
      </c>
      <c r="AA89" s="49">
        <f t="shared" ref="AA89:AA94" si="69">IFERROR(M89/$F89,0)</f>
        <v>0</v>
      </c>
      <c r="AB89" s="49">
        <f t="shared" ref="AB89:AB94" si="70">IFERROR(N89/$F89,0)</f>
        <v>0</v>
      </c>
      <c r="AC89" s="49">
        <f t="shared" ref="AC89:AC94" si="71">IFERROR(O89/$F89,0)</f>
        <v>0</v>
      </c>
      <c r="AD89" s="49">
        <f t="shared" ref="AD89:AD94" si="72">IFERROR(P89/$F89,0)</f>
        <v>0</v>
      </c>
      <c r="AE89" s="49">
        <f t="shared" ref="AE89:AE94" si="73">IFERROR(Q89/$F89,0)</f>
        <v>0</v>
      </c>
      <c r="AF89" s="49">
        <f t="shared" ref="AF89:AF94" si="74">IFERROR(R89/$G89,0)</f>
        <v>0</v>
      </c>
      <c r="AG89" s="49">
        <f t="shared" ref="AG89:AG94" si="75">IFERROR(S89/$G89,0)</f>
        <v>0</v>
      </c>
      <c r="AH89" s="49">
        <f t="shared" ref="AH89:AH94" si="76">IFERROR(T89/$G89,0)</f>
        <v>0</v>
      </c>
      <c r="AI89" s="47">
        <f t="shared" si="58"/>
        <v>0</v>
      </c>
      <c r="AJ89" s="134">
        <f t="shared" si="59"/>
        <v>0</v>
      </c>
    </row>
    <row r="90" spans="2:47" s="45" customFormat="1" x14ac:dyDescent="0.2">
      <c r="B90" s="1" t="str">
        <f t="shared" si="64"/>
        <v>VancresidentialRPSBE</v>
      </c>
      <c r="C90" s="45" t="s">
        <v>1225</v>
      </c>
      <c r="D90" s="45" t="s">
        <v>1367</v>
      </c>
      <c r="E90" s="11">
        <v>0.87</v>
      </c>
      <c r="F90" s="11">
        <v>0.87</v>
      </c>
      <c r="G90" s="11">
        <v>2.82</v>
      </c>
      <c r="H90" s="55"/>
      <c r="I90" s="14">
        <v>41019.079999999994</v>
      </c>
      <c r="J90" s="14">
        <v>41325.629999999997</v>
      </c>
      <c r="K90" s="14">
        <v>41211.22</v>
      </c>
      <c r="L90" s="14">
        <v>41369.795000000006</v>
      </c>
      <c r="M90" s="14">
        <v>41213.215000000004</v>
      </c>
      <c r="N90" s="14">
        <v>41305.420000000006</v>
      </c>
      <c r="O90" s="14">
        <v>41134.160000000003</v>
      </c>
      <c r="P90" s="14">
        <v>41152.949999999997</v>
      </c>
      <c r="Q90" s="14">
        <v>41032.25</v>
      </c>
      <c r="R90" s="14">
        <v>66496</v>
      </c>
      <c r="S90" s="14">
        <v>66289.19</v>
      </c>
      <c r="T90" s="14">
        <v>66696.625</v>
      </c>
      <c r="U90" s="73">
        <f t="shared" si="45"/>
        <v>570245.53500000003</v>
      </c>
      <c r="W90" s="49">
        <f t="shared" si="65"/>
        <v>47148.367816091944</v>
      </c>
      <c r="X90" s="49">
        <f t="shared" si="66"/>
        <v>47500.724137931029</v>
      </c>
      <c r="Y90" s="49">
        <f t="shared" si="67"/>
        <v>47369.218390804599</v>
      </c>
      <c r="Z90" s="49">
        <f t="shared" si="68"/>
        <v>47551.488505747133</v>
      </c>
      <c r="AA90" s="49">
        <f t="shared" si="69"/>
        <v>47371.511494252882</v>
      </c>
      <c r="AB90" s="49">
        <f t="shared" si="70"/>
        <v>47477.49425287357</v>
      </c>
      <c r="AC90" s="49">
        <f t="shared" si="71"/>
        <v>47280.643678160923</v>
      </c>
      <c r="AD90" s="49">
        <f t="shared" si="72"/>
        <v>47302.241379310341</v>
      </c>
      <c r="AE90" s="49">
        <f t="shared" si="73"/>
        <v>47163.505747126437</v>
      </c>
      <c r="AF90" s="49">
        <f t="shared" si="74"/>
        <v>23580.141843971633</v>
      </c>
      <c r="AG90" s="49">
        <f t="shared" si="75"/>
        <v>23506.804964539009</v>
      </c>
      <c r="AH90" s="49">
        <f t="shared" si="76"/>
        <v>23651.285460992909</v>
      </c>
      <c r="AI90" s="47">
        <f t="shared" si="58"/>
        <v>41408.618972650198</v>
      </c>
      <c r="AJ90" s="134">
        <f t="shared" si="59"/>
        <v>496903.42767180235</v>
      </c>
    </row>
    <row r="91" spans="2:47" s="45" customFormat="1" x14ac:dyDescent="0.2">
      <c r="B91" s="1" t="str">
        <f>"Vanc"&amp;"multifamily"&amp;C91</f>
        <v>VancmultifamilyRPSMMF</v>
      </c>
      <c r="C91" s="45" t="s">
        <v>1179</v>
      </c>
      <c r="D91" s="45" t="s">
        <v>1366</v>
      </c>
      <c r="E91" s="11">
        <v>0.42</v>
      </c>
      <c r="F91" s="11">
        <v>0.42</v>
      </c>
      <c r="G91" s="11">
        <v>0.65</v>
      </c>
      <c r="H91" s="55"/>
      <c r="I91" s="14">
        <v>13617.38</v>
      </c>
      <c r="J91" s="14">
        <v>13788.52</v>
      </c>
      <c r="K91" s="14">
        <v>13818.36</v>
      </c>
      <c r="L91" s="14">
        <v>13881.740000000002</v>
      </c>
      <c r="M91" s="14">
        <v>14053</v>
      </c>
      <c r="N91" s="14">
        <v>14119.98</v>
      </c>
      <c r="O91" s="14">
        <v>14144.9</v>
      </c>
      <c r="P91" s="14">
        <v>14155.18</v>
      </c>
      <c r="Q91" s="14">
        <v>14194.8</v>
      </c>
      <c r="R91" s="14">
        <v>21967.4</v>
      </c>
      <c r="S91" s="14">
        <v>22168.1</v>
      </c>
      <c r="T91" s="14">
        <v>22190.49</v>
      </c>
      <c r="U91" s="73">
        <f t="shared" si="45"/>
        <v>192099.85</v>
      </c>
      <c r="W91" s="49">
        <f t="shared" si="65"/>
        <v>32422.333333333332</v>
      </c>
      <c r="X91" s="49">
        <f t="shared" si="66"/>
        <v>32829.809523809527</v>
      </c>
      <c r="Y91" s="49">
        <f t="shared" si="67"/>
        <v>32900.857142857145</v>
      </c>
      <c r="Z91" s="49">
        <f t="shared" si="68"/>
        <v>33051.761904761908</v>
      </c>
      <c r="AA91" s="49">
        <f t="shared" si="69"/>
        <v>33459.523809523809</v>
      </c>
      <c r="AB91" s="49">
        <f t="shared" si="70"/>
        <v>33619</v>
      </c>
      <c r="AC91" s="49">
        <f t="shared" si="71"/>
        <v>33678.333333333336</v>
      </c>
      <c r="AD91" s="49">
        <f t="shared" si="72"/>
        <v>33702.809523809527</v>
      </c>
      <c r="AE91" s="49">
        <f t="shared" si="73"/>
        <v>33797.142857142855</v>
      </c>
      <c r="AF91" s="49">
        <f t="shared" si="74"/>
        <v>33796</v>
      </c>
      <c r="AG91" s="49">
        <f t="shared" si="75"/>
        <v>34104.769230769227</v>
      </c>
      <c r="AH91" s="49">
        <f t="shared" si="76"/>
        <v>34139.215384615389</v>
      </c>
      <c r="AI91" s="47">
        <f t="shared" si="58"/>
        <v>33458.463003663004</v>
      </c>
      <c r="AJ91" s="134">
        <f t="shared" si="59"/>
        <v>401501.55604395608</v>
      </c>
    </row>
    <row r="92" spans="2:47" s="45" customFormat="1" x14ac:dyDescent="0.2">
      <c r="B92" s="1" t="str">
        <f>"Vanc"&amp;"residential Extras"&amp;C92</f>
        <v>Vancresidential ExtrasRPLUSX</v>
      </c>
      <c r="C92" s="45" t="s">
        <v>1295</v>
      </c>
      <c r="D92" s="45" t="s">
        <v>1296</v>
      </c>
      <c r="E92" s="11">
        <v>1</v>
      </c>
      <c r="F92" s="11">
        <v>1</v>
      </c>
      <c r="G92" s="11">
        <v>2</v>
      </c>
      <c r="H92" s="55"/>
      <c r="I92" s="14">
        <v>0</v>
      </c>
      <c r="J92" s="14">
        <v>0</v>
      </c>
      <c r="K92" s="14">
        <v>0</v>
      </c>
      <c r="L92" s="14">
        <v>0</v>
      </c>
      <c r="M92" s="14">
        <v>0</v>
      </c>
      <c r="N92" s="14">
        <v>0</v>
      </c>
      <c r="O92" s="14">
        <v>0</v>
      </c>
      <c r="P92" s="14">
        <v>0</v>
      </c>
      <c r="Q92" s="14">
        <v>0</v>
      </c>
      <c r="R92" s="14">
        <v>0</v>
      </c>
      <c r="S92" s="14">
        <v>0</v>
      </c>
      <c r="T92" s="14">
        <v>0</v>
      </c>
      <c r="U92" s="73">
        <f t="shared" si="45"/>
        <v>0</v>
      </c>
      <c r="W92" s="49">
        <f t="shared" si="65"/>
        <v>0</v>
      </c>
      <c r="X92" s="49">
        <f t="shared" si="66"/>
        <v>0</v>
      </c>
      <c r="Y92" s="49">
        <f t="shared" si="67"/>
        <v>0</v>
      </c>
      <c r="Z92" s="49">
        <f t="shared" si="68"/>
        <v>0</v>
      </c>
      <c r="AA92" s="49">
        <f t="shared" si="69"/>
        <v>0</v>
      </c>
      <c r="AB92" s="49">
        <f t="shared" si="70"/>
        <v>0</v>
      </c>
      <c r="AC92" s="49">
        <f t="shared" si="71"/>
        <v>0</v>
      </c>
      <c r="AD92" s="49">
        <f t="shared" si="72"/>
        <v>0</v>
      </c>
      <c r="AE92" s="49">
        <f t="shared" si="73"/>
        <v>0</v>
      </c>
      <c r="AF92" s="49">
        <f t="shared" si="74"/>
        <v>0</v>
      </c>
      <c r="AG92" s="49">
        <f t="shared" si="75"/>
        <v>0</v>
      </c>
      <c r="AH92" s="49">
        <f t="shared" si="76"/>
        <v>0</v>
      </c>
      <c r="AI92" s="47">
        <f t="shared" si="58"/>
        <v>0</v>
      </c>
      <c r="AJ92" s="134">
        <f t="shared" si="59"/>
        <v>0</v>
      </c>
    </row>
    <row r="93" spans="2:47" s="45" customFormat="1" x14ac:dyDescent="0.2">
      <c r="B93" s="1" t="str">
        <f>"Vanc"&amp;"residential Extras"&amp;C93</f>
        <v>Vancresidential ExtrasRPLSTYROV</v>
      </c>
      <c r="C93" s="45" t="s">
        <v>1316</v>
      </c>
      <c r="D93" s="45" t="s">
        <v>1317</v>
      </c>
      <c r="E93" s="11">
        <v>8</v>
      </c>
      <c r="F93" s="11">
        <v>8</v>
      </c>
      <c r="G93" s="11">
        <v>10</v>
      </c>
      <c r="H93" s="55"/>
      <c r="I93" s="14">
        <v>0</v>
      </c>
      <c r="J93" s="14">
        <v>0</v>
      </c>
      <c r="K93" s="14">
        <v>0</v>
      </c>
      <c r="L93" s="14">
        <v>0</v>
      </c>
      <c r="M93" s="14">
        <v>0</v>
      </c>
      <c r="N93" s="14">
        <v>0</v>
      </c>
      <c r="O93" s="14">
        <v>0</v>
      </c>
      <c r="P93" s="14">
        <v>0</v>
      </c>
      <c r="Q93" s="14">
        <v>0</v>
      </c>
      <c r="R93" s="14">
        <v>0</v>
      </c>
      <c r="S93" s="14">
        <v>0</v>
      </c>
      <c r="T93" s="14">
        <v>0</v>
      </c>
      <c r="U93" s="73">
        <f t="shared" si="45"/>
        <v>0</v>
      </c>
      <c r="W93" s="49">
        <f t="shared" si="65"/>
        <v>0</v>
      </c>
      <c r="X93" s="49">
        <f t="shared" si="66"/>
        <v>0</v>
      </c>
      <c r="Y93" s="49">
        <f t="shared" si="67"/>
        <v>0</v>
      </c>
      <c r="Z93" s="49">
        <f t="shared" si="68"/>
        <v>0</v>
      </c>
      <c r="AA93" s="49">
        <f t="shared" si="69"/>
        <v>0</v>
      </c>
      <c r="AB93" s="49">
        <f t="shared" si="70"/>
        <v>0</v>
      </c>
      <c r="AC93" s="49">
        <f t="shared" si="71"/>
        <v>0</v>
      </c>
      <c r="AD93" s="49">
        <f t="shared" si="72"/>
        <v>0</v>
      </c>
      <c r="AE93" s="49">
        <f t="shared" si="73"/>
        <v>0</v>
      </c>
      <c r="AF93" s="49">
        <f t="shared" si="74"/>
        <v>0</v>
      </c>
      <c r="AG93" s="49">
        <f t="shared" si="75"/>
        <v>0</v>
      </c>
      <c r="AH93" s="49">
        <f t="shared" si="76"/>
        <v>0</v>
      </c>
      <c r="AI93" s="47">
        <f t="shared" si="58"/>
        <v>0</v>
      </c>
      <c r="AJ93" s="134">
        <f t="shared" si="59"/>
        <v>0</v>
      </c>
    </row>
    <row r="94" spans="2:47" s="271" customFormat="1" x14ac:dyDescent="0.2">
      <c r="C94" s="82" t="s">
        <v>1120</v>
      </c>
      <c r="D94" s="82"/>
      <c r="E94" s="83"/>
      <c r="F94" s="83"/>
      <c r="G94" s="83"/>
      <c r="H94" s="83"/>
      <c r="I94" s="272">
        <v>42184.12</v>
      </c>
      <c r="J94" s="272">
        <v>43005.78</v>
      </c>
      <c r="K94" s="272">
        <v>44358.97</v>
      </c>
      <c r="L94" s="272">
        <v>43391.4</v>
      </c>
      <c r="M94" s="272">
        <v>43177.63</v>
      </c>
      <c r="N94" s="272">
        <v>43053.02</v>
      </c>
      <c r="O94" s="272">
        <v>44100.800000000003</v>
      </c>
      <c r="P94" s="272">
        <v>43813.25</v>
      </c>
      <c r="Q94" s="272">
        <v>43730.92</v>
      </c>
      <c r="R94" s="272">
        <v>9709.7999999999993</v>
      </c>
      <c r="S94" s="272">
        <v>9282.2000000000007</v>
      </c>
      <c r="T94" s="272">
        <v>7948.2</v>
      </c>
      <c r="U94" s="73">
        <f t="shared" si="45"/>
        <v>417756.08999999997</v>
      </c>
      <c r="W94" s="49">
        <f t="shared" si="65"/>
        <v>0</v>
      </c>
      <c r="X94" s="49">
        <f t="shared" si="66"/>
        <v>0</v>
      </c>
      <c r="Y94" s="49">
        <f t="shared" si="67"/>
        <v>0</v>
      </c>
      <c r="Z94" s="49">
        <f t="shared" si="68"/>
        <v>0</v>
      </c>
      <c r="AA94" s="49">
        <f t="shared" si="69"/>
        <v>0</v>
      </c>
      <c r="AB94" s="49">
        <f t="shared" si="70"/>
        <v>0</v>
      </c>
      <c r="AC94" s="49">
        <f t="shared" si="71"/>
        <v>0</v>
      </c>
      <c r="AD94" s="49">
        <f t="shared" si="72"/>
        <v>0</v>
      </c>
      <c r="AE94" s="49">
        <f t="shared" si="73"/>
        <v>0</v>
      </c>
      <c r="AF94" s="49">
        <f t="shared" si="74"/>
        <v>0</v>
      </c>
      <c r="AG94" s="49">
        <f t="shared" si="75"/>
        <v>0</v>
      </c>
      <c r="AH94" s="49">
        <f t="shared" si="76"/>
        <v>0</v>
      </c>
      <c r="AI94" s="47">
        <f t="shared" si="58"/>
        <v>0</v>
      </c>
      <c r="AJ94" s="134">
        <f t="shared" si="59"/>
        <v>0</v>
      </c>
      <c r="AK94" s="45"/>
    </row>
    <row r="95" spans="2:47" s="45" customFormat="1" x14ac:dyDescent="0.2">
      <c r="C95" s="82"/>
      <c r="D95" s="40"/>
      <c r="E95" s="55"/>
      <c r="F95" s="55"/>
      <c r="G95" s="55"/>
      <c r="H95" s="55"/>
      <c r="I95" s="46"/>
      <c r="J95" s="46"/>
      <c r="K95" s="49"/>
      <c r="L95" s="48"/>
      <c r="M95" s="48"/>
      <c r="N95" s="48"/>
      <c r="O95" s="48"/>
      <c r="P95" s="48"/>
      <c r="Q95" s="48"/>
      <c r="R95" s="48"/>
      <c r="S95" s="49"/>
      <c r="T95" s="49"/>
      <c r="U95" s="48"/>
      <c r="W95" s="48"/>
      <c r="X95" s="48"/>
      <c r="Y95" s="48"/>
      <c r="Z95" s="48"/>
      <c r="AA95" s="48"/>
      <c r="AB95" s="48"/>
      <c r="AC95" s="48"/>
      <c r="AD95" s="48"/>
      <c r="AE95" s="48"/>
      <c r="AF95" s="48"/>
      <c r="AG95" s="48"/>
      <c r="AH95" s="48"/>
      <c r="AI95" s="40"/>
    </row>
    <row r="96" spans="2:47" s="45" customFormat="1" x14ac:dyDescent="0.2">
      <c r="D96" s="52" t="s">
        <v>6</v>
      </c>
      <c r="E96" s="55"/>
      <c r="F96" s="55"/>
      <c r="G96" s="55"/>
      <c r="H96" s="55"/>
      <c r="I96" s="74">
        <f t="shared" ref="I96:U96" si="77">SUM(I73:I94)</f>
        <v>243424.08499999996</v>
      </c>
      <c r="J96" s="74">
        <f t="shared" si="77"/>
        <v>245775.39</v>
      </c>
      <c r="K96" s="74">
        <f t="shared" si="77"/>
        <v>246680.03</v>
      </c>
      <c r="L96" s="74">
        <f t="shared" si="77"/>
        <v>246460.78999999998</v>
      </c>
      <c r="M96" s="74">
        <f t="shared" si="77"/>
        <v>245620.37</v>
      </c>
      <c r="N96" s="74">
        <f t="shared" si="77"/>
        <v>246177.61500000002</v>
      </c>
      <c r="O96" s="74">
        <f t="shared" si="77"/>
        <v>246434.90500000003</v>
      </c>
      <c r="P96" s="74">
        <f t="shared" si="77"/>
        <v>246271.63</v>
      </c>
      <c r="Q96" s="74">
        <f t="shared" si="77"/>
        <v>245313.64</v>
      </c>
      <c r="R96" s="74">
        <f t="shared" si="77"/>
        <v>289858.72499999998</v>
      </c>
      <c r="S96" s="74">
        <f t="shared" si="77"/>
        <v>288852.65500000003</v>
      </c>
      <c r="T96" s="74">
        <f t="shared" si="77"/>
        <v>289046.84500000003</v>
      </c>
      <c r="U96" s="74">
        <f t="shared" si="77"/>
        <v>3079916.68</v>
      </c>
      <c r="W96" s="188">
        <f t="shared" ref="W96:AJ96" si="78">SUM(W73:W86)</f>
        <v>47983.411279461267</v>
      </c>
      <c r="X96" s="188">
        <f t="shared" si="78"/>
        <v>48325.919696969693</v>
      </c>
      <c r="Y96" s="188">
        <f t="shared" si="78"/>
        <v>48202.125084175073</v>
      </c>
      <c r="Z96" s="188">
        <f t="shared" si="78"/>
        <v>48392.148653198652</v>
      </c>
      <c r="AA96" s="188">
        <f t="shared" si="78"/>
        <v>48183.729461279465</v>
      </c>
      <c r="AB96" s="188">
        <f t="shared" si="78"/>
        <v>48318.822895622885</v>
      </c>
      <c r="AC96" s="188">
        <f t="shared" si="78"/>
        <v>48110.304377104367</v>
      </c>
      <c r="AD96" s="188">
        <f t="shared" si="78"/>
        <v>48147.246296296289</v>
      </c>
      <c r="AE96" s="188">
        <f t="shared" si="78"/>
        <v>47954.677272727269</v>
      </c>
      <c r="AF96" s="188">
        <f t="shared" si="78"/>
        <v>48021.21759854327</v>
      </c>
      <c r="AG96" s="188">
        <f t="shared" si="78"/>
        <v>47873.11691302486</v>
      </c>
      <c r="AH96" s="188">
        <f t="shared" si="78"/>
        <v>48149.378374035994</v>
      </c>
      <c r="AI96" s="188">
        <f t="shared" si="78"/>
        <v>48138.508158536584</v>
      </c>
      <c r="AJ96" s="188">
        <f t="shared" si="78"/>
        <v>577662.09790243907</v>
      </c>
      <c r="AO96" s="189">
        <f>SUM(AO73:AO91)</f>
        <v>47517.748783536583</v>
      </c>
      <c r="AQ96" s="189">
        <f>SUM(AQ73:AQ91)</f>
        <v>0</v>
      </c>
      <c r="AS96" s="189">
        <f>SUM(AS73:AS91)</f>
        <v>0</v>
      </c>
      <c r="AU96" s="189">
        <f>SUM(AU73:AU91)</f>
        <v>0</v>
      </c>
    </row>
    <row r="97" spans="2:47" s="45" customFormat="1" x14ac:dyDescent="0.2">
      <c r="E97" s="55"/>
      <c r="F97" s="55"/>
      <c r="G97" s="55"/>
      <c r="H97" s="55"/>
      <c r="I97" s="46"/>
      <c r="J97" s="46" t="str">
        <f>IF(H97="","",(#REF!/H97)+(#REF!/#REF!))</f>
        <v/>
      </c>
      <c r="K97" s="49" t="str">
        <f>IF(H97="","",J97/12)</f>
        <v/>
      </c>
      <c r="L97" s="46"/>
      <c r="M97" s="73"/>
      <c r="N97" s="46"/>
      <c r="U97" s="73"/>
      <c r="W97" s="48"/>
      <c r="X97" s="48"/>
      <c r="Y97" s="48"/>
      <c r="Z97" s="48"/>
      <c r="AA97" s="48"/>
      <c r="AB97" s="48"/>
      <c r="AC97" s="48"/>
      <c r="AD97" s="48"/>
      <c r="AE97" s="48"/>
      <c r="AF97" s="48"/>
      <c r="AG97" s="48"/>
      <c r="AH97" s="48"/>
      <c r="AI97" s="194">
        <f>+(AI96-43382)/43382</f>
        <v>0.10964243599964466</v>
      </c>
    </row>
    <row r="98" spans="2:47" s="45" customFormat="1" x14ac:dyDescent="0.2">
      <c r="C98" s="62" t="s">
        <v>433</v>
      </c>
      <c r="D98" s="62" t="s">
        <v>433</v>
      </c>
      <c r="E98" s="55"/>
      <c r="F98" s="55"/>
      <c r="G98" s="55"/>
      <c r="H98" s="55"/>
      <c r="I98" s="46"/>
      <c r="J98" s="46" t="str">
        <f>IF(H98="","",(#REF!/H98)+(#REF!/#REF!))</f>
        <v/>
      </c>
      <c r="K98" s="49" t="str">
        <f>IF(H98="","",J98/12)</f>
        <v/>
      </c>
      <c r="AI98" s="40"/>
    </row>
    <row r="99" spans="2:47" s="45" customFormat="1" x14ac:dyDescent="0.2">
      <c r="B99" s="1" t="str">
        <f>"Vanc"&amp;"Multifamily"&amp;C99</f>
        <v>VancMultifamilyVMFTONS</v>
      </c>
      <c r="C99" s="58" t="s">
        <v>786</v>
      </c>
      <c r="D99" s="58" t="s">
        <v>788</v>
      </c>
      <c r="E99" s="11">
        <v>10</v>
      </c>
      <c r="F99" s="11">
        <v>10</v>
      </c>
      <c r="G99" s="11">
        <v>10</v>
      </c>
      <c r="H99" s="55"/>
      <c r="I99" s="14">
        <v>2864.6</v>
      </c>
      <c r="J99" s="14">
        <v>2480.4</v>
      </c>
      <c r="K99" s="14">
        <v>3221</v>
      </c>
      <c r="L99" s="14">
        <v>2856</v>
      </c>
      <c r="M99" s="14">
        <v>2867.1</v>
      </c>
      <c r="N99" s="14">
        <v>2786.7</v>
      </c>
      <c r="O99" s="14">
        <v>2982.6</v>
      </c>
      <c r="P99" s="14">
        <v>3007.7</v>
      </c>
      <c r="Q99" s="14">
        <v>3127.9</v>
      </c>
      <c r="R99" s="14">
        <v>3517.5</v>
      </c>
      <c r="S99" s="14">
        <v>2760.1</v>
      </c>
      <c r="T99" s="14">
        <v>2928.4</v>
      </c>
      <c r="U99" s="73">
        <f>SUM(I99:T99)</f>
        <v>35400</v>
      </c>
      <c r="W99" s="49">
        <f t="shared" ref="W99:Y101" si="79">IFERROR(I99/$E99,0)</f>
        <v>286.45999999999998</v>
      </c>
      <c r="X99" s="49">
        <f t="shared" si="79"/>
        <v>248.04000000000002</v>
      </c>
      <c r="Y99" s="49">
        <f t="shared" si="79"/>
        <v>322.10000000000002</v>
      </c>
      <c r="Z99" s="49">
        <f t="shared" ref="Z99:AE101" si="80">IFERROR(L99/$F99,0)</f>
        <v>285.60000000000002</v>
      </c>
      <c r="AA99" s="49">
        <f t="shared" si="80"/>
        <v>286.70999999999998</v>
      </c>
      <c r="AB99" s="49">
        <f t="shared" si="80"/>
        <v>278.66999999999996</v>
      </c>
      <c r="AC99" s="49">
        <f t="shared" si="80"/>
        <v>298.26</v>
      </c>
      <c r="AD99" s="49">
        <f t="shared" si="80"/>
        <v>300.77</v>
      </c>
      <c r="AE99" s="49">
        <f t="shared" si="80"/>
        <v>312.79000000000002</v>
      </c>
      <c r="AF99" s="49">
        <f t="shared" ref="AF99:AH101" si="81">IFERROR(R99/$G99,0)</f>
        <v>351.75</v>
      </c>
      <c r="AG99" s="49">
        <f t="shared" si="81"/>
        <v>276.01</v>
      </c>
      <c r="AH99" s="49">
        <f t="shared" si="81"/>
        <v>292.84000000000003</v>
      </c>
      <c r="AI99" s="47">
        <f>+IFERROR(AVERAGE(W99:AH99),0)</f>
        <v>295</v>
      </c>
      <c r="AJ99" s="134">
        <f>SUM(W99:AH99)</f>
        <v>3540</v>
      </c>
    </row>
    <row r="100" spans="2:47" s="45" customFormat="1" x14ac:dyDescent="0.2">
      <c r="B100" s="1" t="str">
        <f>"Vanc"&amp;"Multifamily"&amp;C100</f>
        <v>VancMultifamilyWMFREC</v>
      </c>
      <c r="C100" s="58" t="s">
        <v>951</v>
      </c>
      <c r="D100" s="58" t="s">
        <v>952</v>
      </c>
      <c r="E100" s="11">
        <v>10</v>
      </c>
      <c r="F100" s="11">
        <v>10</v>
      </c>
      <c r="G100" s="11">
        <v>1.57</v>
      </c>
      <c r="H100" s="55"/>
      <c r="I100" s="14">
        <v>43.21</v>
      </c>
      <c r="J100" s="14">
        <v>43.21</v>
      </c>
      <c r="K100" s="14">
        <v>0</v>
      </c>
      <c r="L100" s="14">
        <v>0</v>
      </c>
      <c r="M100" s="14">
        <v>0</v>
      </c>
      <c r="N100" s="14">
        <v>0</v>
      </c>
      <c r="O100" s="14">
        <v>0</v>
      </c>
      <c r="P100" s="14">
        <v>0</v>
      </c>
      <c r="Q100" s="14">
        <v>0</v>
      </c>
      <c r="R100" s="14">
        <v>0</v>
      </c>
      <c r="S100" s="14">
        <v>0</v>
      </c>
      <c r="T100" s="14">
        <v>0</v>
      </c>
      <c r="U100" s="73">
        <f>SUM(I100:T100)</f>
        <v>86.42</v>
      </c>
      <c r="W100" s="49">
        <f t="shared" si="79"/>
        <v>4.3209999999999997</v>
      </c>
      <c r="X100" s="49">
        <f t="shared" si="79"/>
        <v>4.3209999999999997</v>
      </c>
      <c r="Y100" s="49">
        <f t="shared" si="79"/>
        <v>0</v>
      </c>
      <c r="Z100" s="49">
        <f t="shared" si="80"/>
        <v>0</v>
      </c>
      <c r="AA100" s="49">
        <f t="shared" si="80"/>
        <v>0</v>
      </c>
      <c r="AB100" s="49">
        <f t="shared" si="80"/>
        <v>0</v>
      </c>
      <c r="AC100" s="49">
        <f t="shared" si="80"/>
        <v>0</v>
      </c>
      <c r="AD100" s="49">
        <f t="shared" si="80"/>
        <v>0</v>
      </c>
      <c r="AE100" s="49">
        <f t="shared" si="80"/>
        <v>0</v>
      </c>
      <c r="AF100" s="49">
        <f t="shared" si="81"/>
        <v>0</v>
      </c>
      <c r="AG100" s="49">
        <f t="shared" si="81"/>
        <v>0</v>
      </c>
      <c r="AH100" s="49">
        <f t="shared" si="81"/>
        <v>0</v>
      </c>
      <c r="AI100" s="47">
        <f>+IFERROR(AVERAGE(W100:AH100),0)</f>
        <v>0.72016666666666662</v>
      </c>
      <c r="AJ100" s="134">
        <f>SUM(W100:AH100)</f>
        <v>8.6419999999999995</v>
      </c>
    </row>
    <row r="101" spans="2:47" s="45" customFormat="1" x14ac:dyDescent="0.2">
      <c r="B101" s="1" t="str">
        <f>"Vanc"&amp;"Multifamily"&amp;C101</f>
        <v>VancMultifamilyVMFREC</v>
      </c>
      <c r="C101" s="58" t="s">
        <v>787</v>
      </c>
      <c r="D101" s="58" t="s">
        <v>435</v>
      </c>
      <c r="E101" s="11">
        <v>1.49</v>
      </c>
      <c r="F101" s="11">
        <v>1.49</v>
      </c>
      <c r="G101" s="11">
        <v>1.57</v>
      </c>
      <c r="H101" s="55"/>
      <c r="I101" s="14">
        <v>48257.34</v>
      </c>
      <c r="J101" s="14">
        <v>48838.91</v>
      </c>
      <c r="K101" s="14">
        <v>48988.67</v>
      </c>
      <c r="L101" s="14">
        <v>49302.080000000002</v>
      </c>
      <c r="M101" s="14">
        <v>49857.99</v>
      </c>
      <c r="N101" s="14">
        <v>50093.7</v>
      </c>
      <c r="O101" s="14">
        <v>50179.3</v>
      </c>
      <c r="P101" s="14">
        <v>50346.13</v>
      </c>
      <c r="Q101" s="14">
        <v>50357.72</v>
      </c>
      <c r="R101" s="14">
        <v>53059.72</v>
      </c>
      <c r="S101" s="14">
        <v>53554.77</v>
      </c>
      <c r="T101" s="14">
        <v>53609.36</v>
      </c>
      <c r="U101" s="73">
        <f>SUM(I101:T101)</f>
        <v>606445.68999999994</v>
      </c>
      <c r="W101" s="49">
        <f t="shared" si="79"/>
        <v>32387.47651006711</v>
      </c>
      <c r="X101" s="49">
        <f t="shared" si="79"/>
        <v>32777.791946308731</v>
      </c>
      <c r="Y101" s="49">
        <f t="shared" si="79"/>
        <v>32878.302013422821</v>
      </c>
      <c r="Z101" s="49">
        <f t="shared" si="80"/>
        <v>33088.644295302016</v>
      </c>
      <c r="AA101" s="49">
        <f t="shared" si="80"/>
        <v>33461.738255033553</v>
      </c>
      <c r="AB101" s="49">
        <f t="shared" si="80"/>
        <v>33619.932885906041</v>
      </c>
      <c r="AC101" s="49">
        <f t="shared" si="80"/>
        <v>33677.382550335569</v>
      </c>
      <c r="AD101" s="49">
        <f t="shared" si="80"/>
        <v>33789.348993288586</v>
      </c>
      <c r="AE101" s="49">
        <f t="shared" si="80"/>
        <v>33797.127516778528</v>
      </c>
      <c r="AF101" s="49">
        <f t="shared" si="81"/>
        <v>33796</v>
      </c>
      <c r="AG101" s="49">
        <f t="shared" si="81"/>
        <v>34111.318471337574</v>
      </c>
      <c r="AH101" s="49">
        <f t="shared" si="81"/>
        <v>34146.08917197452</v>
      </c>
      <c r="AI101" s="47">
        <f>+IFERROR(AVERAGE(W101:AH101),0)</f>
        <v>33460.929384146257</v>
      </c>
      <c r="AJ101" s="134">
        <f>SUM(W101:AH101)</f>
        <v>401531.15260975505</v>
      </c>
      <c r="AN101" s="1">
        <v>0</v>
      </c>
      <c r="AO101" s="13">
        <v>0</v>
      </c>
      <c r="AP101" s="1">
        <v>0</v>
      </c>
      <c r="AQ101" s="13">
        <f>+$AI101*AP101</f>
        <v>0</v>
      </c>
      <c r="AR101" s="1">
        <v>0</v>
      </c>
      <c r="AS101" s="13">
        <f>+$AI101*AR101</f>
        <v>0</v>
      </c>
      <c r="AT101" s="1">
        <v>0</v>
      </c>
      <c r="AU101" s="13">
        <f>+$AI101*AT101</f>
        <v>0</v>
      </c>
    </row>
    <row r="102" spans="2:47" s="45" customFormat="1" x14ac:dyDescent="0.2">
      <c r="E102" s="55"/>
      <c r="F102" s="55"/>
      <c r="G102" s="55"/>
      <c r="H102" s="55"/>
      <c r="I102" s="46"/>
      <c r="J102" s="46" t="str">
        <f>IF(H102="","",(#REF!/H102)+(#REF!/#REF!))</f>
        <v/>
      </c>
      <c r="K102" s="49" t="str">
        <f>IF(H102="","",J102/12)</f>
        <v/>
      </c>
      <c r="L102" s="72"/>
      <c r="M102" s="73"/>
      <c r="U102" s="73"/>
      <c r="W102" s="48"/>
      <c r="X102" s="48"/>
      <c r="Y102" s="48"/>
      <c r="Z102" s="48"/>
      <c r="AA102" s="48"/>
      <c r="AB102" s="48"/>
      <c r="AC102" s="48"/>
      <c r="AD102" s="48"/>
      <c r="AE102" s="48"/>
      <c r="AF102" s="48"/>
      <c r="AG102" s="48"/>
      <c r="AH102" s="48"/>
      <c r="AI102" s="40"/>
    </row>
    <row r="103" spans="2:47" s="45" customFormat="1" x14ac:dyDescent="0.2">
      <c r="D103" s="52" t="s">
        <v>23</v>
      </c>
      <c r="E103" s="55"/>
      <c r="F103" s="55"/>
      <c r="G103" s="55"/>
      <c r="H103" s="55"/>
      <c r="I103" s="97">
        <f>SUM(I99:I102)</f>
        <v>51165.149999999994</v>
      </c>
      <c r="J103" s="97">
        <f t="shared" ref="J103:T103" si="82">SUM(J99:J102)</f>
        <v>51362.520000000004</v>
      </c>
      <c r="K103" s="97">
        <f t="shared" si="82"/>
        <v>52209.67</v>
      </c>
      <c r="L103" s="97">
        <f t="shared" si="82"/>
        <v>52158.080000000002</v>
      </c>
      <c r="M103" s="97">
        <f t="shared" si="82"/>
        <v>52725.09</v>
      </c>
      <c r="N103" s="97">
        <f t="shared" si="82"/>
        <v>52880.399999999994</v>
      </c>
      <c r="O103" s="97">
        <f t="shared" si="82"/>
        <v>53161.9</v>
      </c>
      <c r="P103" s="97">
        <f t="shared" si="82"/>
        <v>53353.829999999994</v>
      </c>
      <c r="Q103" s="97">
        <f t="shared" si="82"/>
        <v>53485.62</v>
      </c>
      <c r="R103" s="97">
        <f t="shared" si="82"/>
        <v>56577.22</v>
      </c>
      <c r="S103" s="97">
        <f t="shared" si="82"/>
        <v>56314.869999999995</v>
      </c>
      <c r="T103" s="97">
        <f t="shared" si="82"/>
        <v>56537.760000000002</v>
      </c>
      <c r="U103" s="97">
        <f>SUM(U99:U102)</f>
        <v>641932.11</v>
      </c>
      <c r="W103" s="188">
        <f>SUM(W101)</f>
        <v>32387.47651006711</v>
      </c>
      <c r="X103" s="188">
        <f t="shared" ref="X103:AH103" si="83">SUM(X101)</f>
        <v>32777.791946308731</v>
      </c>
      <c r="Y103" s="188">
        <f t="shared" si="83"/>
        <v>32878.302013422821</v>
      </c>
      <c r="Z103" s="188">
        <f t="shared" si="83"/>
        <v>33088.644295302016</v>
      </c>
      <c r="AA103" s="188">
        <f t="shared" si="83"/>
        <v>33461.738255033553</v>
      </c>
      <c r="AB103" s="188">
        <f t="shared" si="83"/>
        <v>33619.932885906041</v>
      </c>
      <c r="AC103" s="188">
        <f t="shared" si="83"/>
        <v>33677.382550335569</v>
      </c>
      <c r="AD103" s="188">
        <f t="shared" si="83"/>
        <v>33789.348993288586</v>
      </c>
      <c r="AE103" s="188">
        <f t="shared" si="83"/>
        <v>33797.127516778528</v>
      </c>
      <c r="AF103" s="188">
        <f t="shared" si="83"/>
        <v>33796</v>
      </c>
      <c r="AG103" s="188">
        <f t="shared" si="83"/>
        <v>34111.318471337574</v>
      </c>
      <c r="AH103" s="188">
        <f t="shared" si="83"/>
        <v>34146.08917197452</v>
      </c>
      <c r="AI103" s="189">
        <f>SUM(AI101)</f>
        <v>33460.929384146257</v>
      </c>
      <c r="AO103" s="189">
        <f>SUM(AO101)</f>
        <v>0</v>
      </c>
      <c r="AQ103" s="189">
        <f>SUM(AQ101)</f>
        <v>0</v>
      </c>
      <c r="AS103" s="189">
        <f>SUM(AS101)</f>
        <v>0</v>
      </c>
      <c r="AU103" s="189">
        <f>SUM(AU101)</f>
        <v>0</v>
      </c>
    </row>
    <row r="104" spans="2:47" s="45" customFormat="1" x14ac:dyDescent="0.2">
      <c r="D104" s="52"/>
      <c r="E104" s="55"/>
      <c r="F104" s="55"/>
      <c r="G104" s="55"/>
      <c r="H104" s="55"/>
      <c r="I104" s="46"/>
      <c r="J104" s="46" t="str">
        <f>IF(H104="","",(#REF!/H104)+(#REF!/#REF!))</f>
        <v/>
      </c>
      <c r="K104" s="49" t="str">
        <f>IF(H104="","",J104/12)</f>
        <v/>
      </c>
      <c r="L104" s="72"/>
      <c r="M104" s="73"/>
      <c r="U104" s="73"/>
      <c r="W104" s="48"/>
      <c r="X104" s="48"/>
      <c r="Y104" s="48"/>
      <c r="Z104" s="48"/>
      <c r="AA104" s="48"/>
      <c r="AB104" s="48"/>
      <c r="AC104" s="48"/>
      <c r="AD104" s="48"/>
      <c r="AE104" s="48"/>
      <c r="AF104" s="48"/>
      <c r="AG104" s="48"/>
      <c r="AH104" s="48"/>
      <c r="AI104" s="40"/>
    </row>
    <row r="105" spans="2:47" s="45" customFormat="1" x14ac:dyDescent="0.2">
      <c r="C105" s="62" t="s">
        <v>7</v>
      </c>
      <c r="D105" s="62" t="s">
        <v>7</v>
      </c>
      <c r="E105" s="55"/>
      <c r="F105" s="55"/>
      <c r="G105" s="55"/>
      <c r="H105" s="55"/>
      <c r="I105" s="46"/>
      <c r="J105" s="46" t="str">
        <f>IF(H105="","",(#REF!/H105)+(#REF!/#REF!))</f>
        <v/>
      </c>
      <c r="K105" s="49" t="str">
        <f>IF(H105="","",J105/12)</f>
        <v/>
      </c>
      <c r="L105" s="46"/>
      <c r="M105" s="73"/>
      <c r="U105" s="73"/>
    </row>
    <row r="106" spans="2:47" s="253" customFormat="1" x14ac:dyDescent="0.2">
      <c r="B106" s="241" t="str">
        <f t="shared" ref="B106:B111" si="84">"Vanc"&amp;"residential"&amp;C106</f>
        <v>VancresidentialRYDM</v>
      </c>
      <c r="C106" s="232" t="s">
        <v>684</v>
      </c>
      <c r="D106" s="232" t="s">
        <v>685</v>
      </c>
      <c r="E106" s="238">
        <v>8.81</v>
      </c>
      <c r="F106" s="238">
        <v>8.81</v>
      </c>
      <c r="G106" s="238">
        <v>9.2799999999999994</v>
      </c>
      <c r="H106" s="268"/>
      <c r="I106" s="243">
        <v>0</v>
      </c>
      <c r="J106" s="243">
        <v>0</v>
      </c>
      <c r="K106" s="243">
        <v>0</v>
      </c>
      <c r="L106" s="243">
        <v>0</v>
      </c>
      <c r="M106" s="243">
        <v>0</v>
      </c>
      <c r="N106" s="243">
        <v>0</v>
      </c>
      <c r="O106" s="243">
        <v>0</v>
      </c>
      <c r="P106" s="243">
        <v>0</v>
      </c>
      <c r="Q106" s="243">
        <v>0</v>
      </c>
      <c r="R106" s="243">
        <v>0</v>
      </c>
      <c r="S106" s="243">
        <v>0</v>
      </c>
      <c r="T106" s="243">
        <v>0</v>
      </c>
      <c r="U106" s="263">
        <f t="shared" ref="U106:U119" si="85">SUM(I106:T106)</f>
        <v>0</v>
      </c>
      <c r="W106" s="264">
        <f t="shared" ref="W106:W119" si="86">IFERROR(I106/$E106,0)</f>
        <v>0</v>
      </c>
      <c r="X106" s="264">
        <f t="shared" ref="X106:X119" si="87">IFERROR(J106/$E106,0)</f>
        <v>0</v>
      </c>
      <c r="Y106" s="264">
        <f t="shared" ref="Y106:Y119" si="88">IFERROR(K106/$E106,0)</f>
        <v>0</v>
      </c>
      <c r="Z106" s="264">
        <f t="shared" ref="Z106:Z119" si="89">IFERROR(L106/$F106,0)</f>
        <v>0</v>
      </c>
      <c r="AA106" s="264">
        <f t="shared" ref="AA106:AA119" si="90">IFERROR(M106/$F106,0)</f>
        <v>0</v>
      </c>
      <c r="AB106" s="264">
        <f t="shared" ref="AB106:AB119" si="91">IFERROR(N106/$F106,0)</f>
        <v>0</v>
      </c>
      <c r="AC106" s="264">
        <f t="shared" ref="AC106:AC119" si="92">IFERROR(O106/$F106,0)</f>
        <v>0</v>
      </c>
      <c r="AD106" s="264">
        <f t="shared" ref="AD106:AD119" si="93">IFERROR(P106/$F106,0)</f>
        <v>0</v>
      </c>
      <c r="AE106" s="264">
        <f t="shared" ref="AE106:AE119" si="94">IFERROR(Q106/$F106,0)</f>
        <v>0</v>
      </c>
      <c r="AF106" s="264">
        <f t="shared" ref="AF106:AF119" si="95">IFERROR(R106/$G106,0)</f>
        <v>0</v>
      </c>
      <c r="AG106" s="264">
        <f t="shared" ref="AG106:AG119" si="96">IFERROR(S106/$G106,0)</f>
        <v>0</v>
      </c>
      <c r="AH106" s="264">
        <f t="shared" ref="AH106:AH119" si="97">IFERROR(T106/$G106,0)</f>
        <v>0</v>
      </c>
      <c r="AI106" s="265">
        <f t="shared" ref="AI106:AI111" si="98">+IFERROR(AVERAGE(W106:AH106),0)</f>
        <v>0</v>
      </c>
      <c r="AJ106" s="266">
        <f t="shared" ref="AJ106:AJ115" si="99">SUM(W106:AH106)</f>
        <v>0</v>
      </c>
      <c r="AN106" s="241">
        <v>1</v>
      </c>
      <c r="AO106" s="240">
        <f t="shared" ref="AO106:AO115" si="100">+$AI106*AN106</f>
        <v>0</v>
      </c>
      <c r="AP106" s="241">
        <v>0</v>
      </c>
      <c r="AQ106" s="240">
        <f t="shared" ref="AQ106:AQ115" si="101">+$AI106*AP106</f>
        <v>0</v>
      </c>
      <c r="AR106" s="241">
        <v>0</v>
      </c>
      <c r="AS106" s="240">
        <f t="shared" ref="AS106:AS115" si="102">+$AI106*AR106</f>
        <v>0</v>
      </c>
      <c r="AT106" s="241">
        <v>0</v>
      </c>
      <c r="AU106" s="240">
        <f t="shared" ref="AU106:AU115" si="103">+$AI106*AT106</f>
        <v>0</v>
      </c>
    </row>
    <row r="107" spans="2:47" s="253" customFormat="1" x14ac:dyDescent="0.2">
      <c r="B107" s="241" t="str">
        <f t="shared" si="84"/>
        <v>VancresidentialCYDBM96</v>
      </c>
      <c r="C107" s="232" t="s">
        <v>438</v>
      </c>
      <c r="D107" s="232" t="s">
        <v>448</v>
      </c>
      <c r="E107" s="238">
        <v>8.81</v>
      </c>
      <c r="F107" s="238">
        <v>8.81</v>
      </c>
      <c r="G107" s="238">
        <v>8.81</v>
      </c>
      <c r="H107" s="268"/>
      <c r="I107" s="243">
        <v>0</v>
      </c>
      <c r="J107" s="243">
        <v>-4.9999999999998934E-3</v>
      </c>
      <c r="K107" s="243">
        <v>4.4050000000000002</v>
      </c>
      <c r="L107" s="243">
        <v>0</v>
      </c>
      <c r="M107" s="243">
        <v>0</v>
      </c>
      <c r="N107" s="243">
        <v>0</v>
      </c>
      <c r="O107" s="243">
        <v>0</v>
      </c>
      <c r="P107" s="243">
        <v>-4.22</v>
      </c>
      <c r="Q107" s="243">
        <v>0</v>
      </c>
      <c r="R107" s="243">
        <v>0</v>
      </c>
      <c r="S107" s="243">
        <v>0</v>
      </c>
      <c r="T107" s="243">
        <v>0</v>
      </c>
      <c r="U107" s="263">
        <f t="shared" si="85"/>
        <v>0.1800000000000006</v>
      </c>
      <c r="W107" s="264">
        <f t="shared" si="86"/>
        <v>0</v>
      </c>
      <c r="X107" s="264">
        <f t="shared" si="87"/>
        <v>-5.675368898978312E-4</v>
      </c>
      <c r="Y107" s="264">
        <f t="shared" si="88"/>
        <v>0.5</v>
      </c>
      <c r="Z107" s="264">
        <f t="shared" si="89"/>
        <v>0</v>
      </c>
      <c r="AA107" s="264">
        <f t="shared" si="90"/>
        <v>0</v>
      </c>
      <c r="AB107" s="264">
        <f t="shared" si="91"/>
        <v>0</v>
      </c>
      <c r="AC107" s="264">
        <f t="shared" si="92"/>
        <v>0</v>
      </c>
      <c r="AD107" s="264">
        <f t="shared" si="93"/>
        <v>-0.47900113507377973</v>
      </c>
      <c r="AE107" s="264">
        <f t="shared" si="94"/>
        <v>0</v>
      </c>
      <c r="AF107" s="264">
        <f t="shared" si="95"/>
        <v>0</v>
      </c>
      <c r="AG107" s="264">
        <f t="shared" si="96"/>
        <v>0</v>
      </c>
      <c r="AH107" s="264">
        <f t="shared" si="97"/>
        <v>0</v>
      </c>
      <c r="AI107" s="265">
        <f t="shared" si="98"/>
        <v>1.7026106696935346E-3</v>
      </c>
      <c r="AJ107" s="266">
        <f t="shared" si="99"/>
        <v>2.0431328036322416E-2</v>
      </c>
      <c r="AN107" s="241">
        <v>1</v>
      </c>
      <c r="AO107" s="240">
        <f t="shared" si="100"/>
        <v>1.7026106696935346E-3</v>
      </c>
      <c r="AP107" s="241">
        <v>0</v>
      </c>
      <c r="AQ107" s="240">
        <f t="shared" si="101"/>
        <v>0</v>
      </c>
      <c r="AR107" s="241">
        <v>0</v>
      </c>
      <c r="AS107" s="240">
        <f t="shared" si="102"/>
        <v>0</v>
      </c>
      <c r="AT107" s="241">
        <v>0</v>
      </c>
      <c r="AU107" s="240">
        <f t="shared" si="103"/>
        <v>0</v>
      </c>
    </row>
    <row r="108" spans="2:47" s="253" customFormat="1" x14ac:dyDescent="0.2">
      <c r="B108" s="241" t="str">
        <f t="shared" si="84"/>
        <v>VancresidentialOR20G</v>
      </c>
      <c r="C108" s="253" t="s">
        <v>1254</v>
      </c>
      <c r="D108" s="253" t="s">
        <v>1255</v>
      </c>
      <c r="E108" s="238">
        <v>5.25</v>
      </c>
      <c r="F108" s="238">
        <v>5.25</v>
      </c>
      <c r="G108" s="238">
        <v>5.53</v>
      </c>
      <c r="H108" s="268"/>
      <c r="I108" s="243">
        <v>5283.5749999999998</v>
      </c>
      <c r="J108" s="243">
        <v>5365.3899999999994</v>
      </c>
      <c r="K108" s="243">
        <v>5331.2199999999993</v>
      </c>
      <c r="L108" s="243">
        <v>5494</v>
      </c>
      <c r="M108" s="243">
        <v>5409.92</v>
      </c>
      <c r="N108" s="243">
        <v>5512.4949999999999</v>
      </c>
      <c r="O108" s="243">
        <v>5478.3249999999998</v>
      </c>
      <c r="P108" s="243">
        <v>5515.1699999999992</v>
      </c>
      <c r="Q108" s="243">
        <v>5462.62</v>
      </c>
      <c r="R108" s="243">
        <v>5867.6500000000005</v>
      </c>
      <c r="S108" s="243">
        <v>5839.6500000000005</v>
      </c>
      <c r="T108" s="243">
        <v>5939.9849999999997</v>
      </c>
      <c r="U108" s="263">
        <f t="shared" si="85"/>
        <v>66500</v>
      </c>
      <c r="W108" s="264">
        <f t="shared" si="86"/>
        <v>1006.395238095238</v>
      </c>
      <c r="X108" s="264">
        <f t="shared" si="87"/>
        <v>1021.9790476190475</v>
      </c>
      <c r="Y108" s="264">
        <f t="shared" si="88"/>
        <v>1015.4704761904761</v>
      </c>
      <c r="Z108" s="264">
        <f t="shared" si="89"/>
        <v>1046.4761904761904</v>
      </c>
      <c r="AA108" s="264">
        <f t="shared" si="90"/>
        <v>1030.4609523809524</v>
      </c>
      <c r="AB108" s="264">
        <f t="shared" si="91"/>
        <v>1049.9990476190476</v>
      </c>
      <c r="AC108" s="264">
        <f t="shared" si="92"/>
        <v>1043.4904761904761</v>
      </c>
      <c r="AD108" s="264">
        <f t="shared" si="93"/>
        <v>1050.5085714285713</v>
      </c>
      <c r="AE108" s="264">
        <f t="shared" si="94"/>
        <v>1040.4990476190476</v>
      </c>
      <c r="AF108" s="264">
        <f t="shared" si="95"/>
        <v>1061.0578661844486</v>
      </c>
      <c r="AG108" s="264">
        <f t="shared" si="96"/>
        <v>1055.994575045208</v>
      </c>
      <c r="AH108" s="264">
        <f t="shared" si="97"/>
        <v>1074.1383363471971</v>
      </c>
      <c r="AI108" s="265">
        <f t="shared" si="98"/>
        <v>1041.3724854329919</v>
      </c>
      <c r="AJ108" s="266">
        <f t="shared" si="99"/>
        <v>12496.469825195902</v>
      </c>
      <c r="AN108" s="241">
        <v>1</v>
      </c>
      <c r="AO108" s="240">
        <f t="shared" si="100"/>
        <v>1041.3724854329919</v>
      </c>
      <c r="AP108" s="241">
        <v>0</v>
      </c>
      <c r="AQ108" s="240">
        <f t="shared" si="101"/>
        <v>0</v>
      </c>
      <c r="AR108" s="241">
        <v>0</v>
      </c>
      <c r="AS108" s="240">
        <f t="shared" si="102"/>
        <v>0</v>
      </c>
      <c r="AT108" s="241">
        <v>0</v>
      </c>
      <c r="AU108" s="240">
        <f t="shared" si="103"/>
        <v>0</v>
      </c>
    </row>
    <row r="109" spans="2:47" s="253" customFormat="1" x14ac:dyDescent="0.2">
      <c r="B109" s="241" t="str">
        <f t="shared" si="84"/>
        <v>VancresidentialOR32G</v>
      </c>
      <c r="C109" s="253" t="s">
        <v>1256</v>
      </c>
      <c r="D109" s="253" t="s">
        <v>1257</v>
      </c>
      <c r="E109" s="238">
        <v>6.44</v>
      </c>
      <c r="F109" s="238">
        <v>6.44</v>
      </c>
      <c r="G109" s="238">
        <v>6.78</v>
      </c>
      <c r="H109" s="268"/>
      <c r="I109" s="243">
        <v>9650.34</v>
      </c>
      <c r="J109" s="243">
        <v>9911.16</v>
      </c>
      <c r="K109" s="243">
        <v>9815.15</v>
      </c>
      <c r="L109" s="243">
        <v>10236.970000000001</v>
      </c>
      <c r="M109" s="243">
        <v>10134.210000000001</v>
      </c>
      <c r="N109" s="243">
        <v>10360.349999999999</v>
      </c>
      <c r="O109" s="243">
        <v>10314.15</v>
      </c>
      <c r="P109" s="243">
        <v>10415.09</v>
      </c>
      <c r="Q109" s="243">
        <v>10367.379999999999</v>
      </c>
      <c r="R109" s="243">
        <v>11091.31</v>
      </c>
      <c r="S109" s="243">
        <v>10995.28</v>
      </c>
      <c r="T109" s="243">
        <v>11192.934999999999</v>
      </c>
      <c r="U109" s="263">
        <f t="shared" si="85"/>
        <v>124484.325</v>
      </c>
      <c r="W109" s="264">
        <f t="shared" si="86"/>
        <v>1498.5</v>
      </c>
      <c r="X109" s="264">
        <f t="shared" si="87"/>
        <v>1538.9999999999998</v>
      </c>
      <c r="Y109" s="264">
        <f t="shared" si="88"/>
        <v>1524.0916149068321</v>
      </c>
      <c r="Z109" s="264">
        <f t="shared" si="89"/>
        <v>1589.5916149068323</v>
      </c>
      <c r="AA109" s="264">
        <f t="shared" si="90"/>
        <v>1573.6350931677018</v>
      </c>
      <c r="AB109" s="264">
        <f t="shared" si="91"/>
        <v>1608.7499999999998</v>
      </c>
      <c r="AC109" s="264">
        <f t="shared" si="92"/>
        <v>1601.5760869565215</v>
      </c>
      <c r="AD109" s="264">
        <f t="shared" si="93"/>
        <v>1617.25</v>
      </c>
      <c r="AE109" s="264">
        <f t="shared" si="94"/>
        <v>1609.8416149068321</v>
      </c>
      <c r="AF109" s="264">
        <f t="shared" si="95"/>
        <v>1635.886430678466</v>
      </c>
      <c r="AG109" s="264">
        <f t="shared" si="96"/>
        <v>1621.7227138643068</v>
      </c>
      <c r="AH109" s="264">
        <f t="shared" si="97"/>
        <v>1650.8753687315632</v>
      </c>
      <c r="AI109" s="265">
        <f t="shared" si="98"/>
        <v>1589.2267115099212</v>
      </c>
      <c r="AJ109" s="266">
        <f t="shared" si="99"/>
        <v>19070.720538119054</v>
      </c>
      <c r="AN109" s="241">
        <v>1</v>
      </c>
      <c r="AO109" s="240">
        <f t="shared" si="100"/>
        <v>1589.2267115099212</v>
      </c>
      <c r="AP109" s="241">
        <v>0</v>
      </c>
      <c r="AQ109" s="240">
        <f t="shared" si="101"/>
        <v>0</v>
      </c>
      <c r="AR109" s="241">
        <v>0</v>
      </c>
      <c r="AS109" s="240">
        <f t="shared" si="102"/>
        <v>0</v>
      </c>
      <c r="AT109" s="241">
        <v>0</v>
      </c>
      <c r="AU109" s="240">
        <f t="shared" si="103"/>
        <v>0</v>
      </c>
    </row>
    <row r="110" spans="2:47" s="253" customFormat="1" x14ac:dyDescent="0.2">
      <c r="B110" s="241" t="str">
        <f t="shared" si="84"/>
        <v>VancresidentialOR64G</v>
      </c>
      <c r="C110" s="253" t="s">
        <v>1258</v>
      </c>
      <c r="D110" s="253" t="s">
        <v>1259</v>
      </c>
      <c r="E110" s="238">
        <v>7.62</v>
      </c>
      <c r="F110" s="238">
        <v>7.62</v>
      </c>
      <c r="G110" s="238">
        <v>8.0299999999999994</v>
      </c>
      <c r="H110" s="268"/>
      <c r="I110" s="243">
        <v>42005.73</v>
      </c>
      <c r="J110" s="243">
        <v>42365.294999999998</v>
      </c>
      <c r="K110" s="243">
        <v>42319.555</v>
      </c>
      <c r="L110" s="243">
        <v>42656.76</v>
      </c>
      <c r="M110" s="243">
        <v>42534.44</v>
      </c>
      <c r="N110" s="243">
        <v>42923.46</v>
      </c>
      <c r="O110" s="243">
        <v>42747.76</v>
      </c>
      <c r="P110" s="243">
        <v>42984.229999999996</v>
      </c>
      <c r="Q110" s="243">
        <v>42712.52</v>
      </c>
      <c r="R110" s="243">
        <v>44982.579999999994</v>
      </c>
      <c r="S110" s="243">
        <v>44703.509999999995</v>
      </c>
      <c r="T110" s="243">
        <v>45041.66</v>
      </c>
      <c r="U110" s="263">
        <f t="shared" si="85"/>
        <v>517977.5</v>
      </c>
      <c r="W110" s="264">
        <f t="shared" si="86"/>
        <v>5512.5629921259842</v>
      </c>
      <c r="X110" s="264">
        <f t="shared" si="87"/>
        <v>5559.75</v>
      </c>
      <c r="Y110" s="264">
        <f t="shared" si="88"/>
        <v>5553.7473753280838</v>
      </c>
      <c r="Z110" s="264">
        <f t="shared" si="89"/>
        <v>5598</v>
      </c>
      <c r="AA110" s="264">
        <f t="shared" si="90"/>
        <v>5581.9475065616798</v>
      </c>
      <c r="AB110" s="264">
        <f t="shared" si="91"/>
        <v>5633</v>
      </c>
      <c r="AC110" s="264">
        <f t="shared" si="92"/>
        <v>5609.9422572178482</v>
      </c>
      <c r="AD110" s="264">
        <f t="shared" si="93"/>
        <v>5640.9750656167971</v>
      </c>
      <c r="AE110" s="264">
        <f t="shared" si="94"/>
        <v>5605.3175853018365</v>
      </c>
      <c r="AF110" s="264">
        <f t="shared" si="95"/>
        <v>5601.8156911581564</v>
      </c>
      <c r="AG110" s="264">
        <f t="shared" si="96"/>
        <v>5567.0622665006222</v>
      </c>
      <c r="AH110" s="264">
        <f t="shared" si="97"/>
        <v>5609.1731008717315</v>
      </c>
      <c r="AI110" s="265">
        <f t="shared" si="98"/>
        <v>5589.4411533902276</v>
      </c>
      <c r="AJ110" s="266">
        <f t="shared" si="99"/>
        <v>67073.293840682731</v>
      </c>
      <c r="AN110" s="241">
        <v>1</v>
      </c>
      <c r="AO110" s="240">
        <f t="shared" si="100"/>
        <v>5589.4411533902276</v>
      </c>
      <c r="AP110" s="241">
        <v>0</v>
      </c>
      <c r="AQ110" s="240">
        <f t="shared" si="101"/>
        <v>0</v>
      </c>
      <c r="AR110" s="241">
        <v>0</v>
      </c>
      <c r="AS110" s="240">
        <f t="shared" si="102"/>
        <v>0</v>
      </c>
      <c r="AT110" s="241">
        <v>0</v>
      </c>
      <c r="AU110" s="240">
        <f t="shared" si="103"/>
        <v>0</v>
      </c>
    </row>
    <row r="111" spans="2:47" s="253" customFormat="1" x14ac:dyDescent="0.2">
      <c r="B111" s="241" t="str">
        <f t="shared" si="84"/>
        <v>VancresidentialOR96G</v>
      </c>
      <c r="C111" s="253" t="s">
        <v>1260</v>
      </c>
      <c r="D111" s="253" t="s">
        <v>1261</v>
      </c>
      <c r="E111" s="238">
        <v>8.81</v>
      </c>
      <c r="F111" s="238">
        <v>8.81</v>
      </c>
      <c r="G111" s="238">
        <v>9.2799999999999994</v>
      </c>
      <c r="H111" s="268"/>
      <c r="I111" s="243">
        <v>186909.63999999998</v>
      </c>
      <c r="J111" s="243">
        <v>189129.83000000002</v>
      </c>
      <c r="K111" s="243">
        <v>188470.17</v>
      </c>
      <c r="L111" s="243">
        <v>189837.14</v>
      </c>
      <c r="M111" s="243">
        <v>189172.05</v>
      </c>
      <c r="N111" s="243">
        <v>189199.21</v>
      </c>
      <c r="O111" s="243">
        <v>188175.13</v>
      </c>
      <c r="P111" s="243">
        <v>187604.73</v>
      </c>
      <c r="Q111" s="243">
        <v>187306.25</v>
      </c>
      <c r="R111" s="243">
        <v>196207.29500000001</v>
      </c>
      <c r="S111" s="243">
        <v>195333.80499999999</v>
      </c>
      <c r="T111" s="243">
        <v>195524.72</v>
      </c>
      <c r="U111" s="263">
        <f t="shared" si="85"/>
        <v>2282869.9699999997</v>
      </c>
      <c r="W111" s="264">
        <f t="shared" si="86"/>
        <v>21215.623155505105</v>
      </c>
      <c r="X111" s="264">
        <f t="shared" si="87"/>
        <v>21467.631101021569</v>
      </c>
      <c r="Y111" s="264">
        <f t="shared" si="88"/>
        <v>21392.754824063566</v>
      </c>
      <c r="Z111" s="264">
        <f t="shared" si="89"/>
        <v>21547.916004540297</v>
      </c>
      <c r="AA111" s="264">
        <f t="shared" si="90"/>
        <v>21472.423382519861</v>
      </c>
      <c r="AB111" s="264">
        <f t="shared" si="91"/>
        <v>21475.506242905787</v>
      </c>
      <c r="AC111" s="264">
        <f t="shared" si="92"/>
        <v>21359.265607264471</v>
      </c>
      <c r="AD111" s="264">
        <f t="shared" si="93"/>
        <v>21294.520998864926</v>
      </c>
      <c r="AE111" s="264">
        <f t="shared" si="94"/>
        <v>21260.641316685582</v>
      </c>
      <c r="AF111" s="264">
        <f t="shared" si="95"/>
        <v>21143.027478448279</v>
      </c>
      <c r="AG111" s="264">
        <f t="shared" si="96"/>
        <v>21048.901400862069</v>
      </c>
      <c r="AH111" s="264">
        <f t="shared" si="97"/>
        <v>21069.474137931036</v>
      </c>
      <c r="AI111" s="265">
        <f t="shared" si="98"/>
        <v>21312.307137551048</v>
      </c>
      <c r="AJ111" s="266">
        <f t="shared" si="99"/>
        <v>255747.68565061258</v>
      </c>
      <c r="AN111" s="241">
        <v>1</v>
      </c>
      <c r="AO111" s="240">
        <f t="shared" si="100"/>
        <v>21312.307137551048</v>
      </c>
      <c r="AP111" s="241">
        <v>0</v>
      </c>
      <c r="AQ111" s="240">
        <f t="shared" si="101"/>
        <v>0</v>
      </c>
      <c r="AR111" s="241">
        <v>0</v>
      </c>
      <c r="AS111" s="240">
        <f t="shared" si="102"/>
        <v>0</v>
      </c>
      <c r="AT111" s="241">
        <v>0</v>
      </c>
      <c r="AU111" s="240">
        <f t="shared" si="103"/>
        <v>0</v>
      </c>
    </row>
    <row r="112" spans="2:47" s="253" customFormat="1" ht="15" x14ac:dyDescent="0.25">
      <c r="B112" s="241" t="str">
        <f>"Vanc"&amp;"Commercial"&amp;C112</f>
        <v>VancCommercialOM20G</v>
      </c>
      <c r="C112" s="249" t="s">
        <v>1228</v>
      </c>
      <c r="D112" s="249" t="s">
        <v>1229</v>
      </c>
      <c r="E112" s="238">
        <v>5.25</v>
      </c>
      <c r="F112" s="238">
        <v>5.25</v>
      </c>
      <c r="G112" s="238">
        <v>5.53</v>
      </c>
      <c r="H112" s="268"/>
      <c r="I112" s="243">
        <v>540.75</v>
      </c>
      <c r="J112" s="243">
        <v>540.75</v>
      </c>
      <c r="K112" s="243">
        <v>540.75</v>
      </c>
      <c r="L112" s="243">
        <v>540.75</v>
      </c>
      <c r="M112" s="243">
        <v>540.75</v>
      </c>
      <c r="N112" s="243">
        <v>540.75</v>
      </c>
      <c r="O112" s="243">
        <v>540.75</v>
      </c>
      <c r="P112" s="243">
        <v>540.75</v>
      </c>
      <c r="Q112" s="243">
        <v>540.75</v>
      </c>
      <c r="R112" s="243">
        <v>569.59</v>
      </c>
      <c r="S112" s="243">
        <v>569.59</v>
      </c>
      <c r="T112" s="243">
        <v>569.59</v>
      </c>
      <c r="U112" s="263">
        <f t="shared" si="85"/>
        <v>6575.52</v>
      </c>
      <c r="W112" s="264">
        <f t="shared" si="86"/>
        <v>103</v>
      </c>
      <c r="X112" s="264">
        <f t="shared" si="87"/>
        <v>103</v>
      </c>
      <c r="Y112" s="264">
        <f t="shared" si="88"/>
        <v>103</v>
      </c>
      <c r="Z112" s="264">
        <f t="shared" si="89"/>
        <v>103</v>
      </c>
      <c r="AA112" s="264">
        <f t="shared" si="90"/>
        <v>103</v>
      </c>
      <c r="AB112" s="264">
        <f t="shared" si="91"/>
        <v>103</v>
      </c>
      <c r="AC112" s="264">
        <f t="shared" si="92"/>
        <v>103</v>
      </c>
      <c r="AD112" s="264">
        <f t="shared" si="93"/>
        <v>103</v>
      </c>
      <c r="AE112" s="264">
        <f t="shared" si="94"/>
        <v>103</v>
      </c>
      <c r="AF112" s="264">
        <f t="shared" si="95"/>
        <v>103</v>
      </c>
      <c r="AG112" s="264">
        <f t="shared" si="96"/>
        <v>103</v>
      </c>
      <c r="AH112" s="264">
        <f t="shared" si="97"/>
        <v>103</v>
      </c>
      <c r="AI112" s="265">
        <f t="shared" ref="AI112:AI119" si="104">+IFERROR(AVERAGE(W112:AH112),0)</f>
        <v>103</v>
      </c>
      <c r="AJ112" s="266">
        <f t="shared" si="99"/>
        <v>1236</v>
      </c>
      <c r="AN112" s="241">
        <v>1</v>
      </c>
      <c r="AO112" s="240">
        <f t="shared" si="100"/>
        <v>103</v>
      </c>
      <c r="AP112" s="241">
        <v>0</v>
      </c>
      <c r="AQ112" s="240">
        <f t="shared" si="101"/>
        <v>0</v>
      </c>
      <c r="AR112" s="241">
        <v>0</v>
      </c>
      <c r="AS112" s="240">
        <f t="shared" si="102"/>
        <v>0</v>
      </c>
      <c r="AT112" s="241">
        <v>0</v>
      </c>
      <c r="AU112" s="240">
        <f t="shared" si="103"/>
        <v>0</v>
      </c>
    </row>
    <row r="113" spans="2:47" s="253" customFormat="1" ht="15" x14ac:dyDescent="0.25">
      <c r="B113" s="241" t="str">
        <f>"Vanc"&amp;"Commercial"&amp;C113</f>
        <v>VancCommercialOM32G</v>
      </c>
      <c r="C113" s="249" t="s">
        <v>1230</v>
      </c>
      <c r="D113" s="249" t="s">
        <v>1231</v>
      </c>
      <c r="E113" s="238">
        <v>6.44</v>
      </c>
      <c r="F113" s="238">
        <v>6.44</v>
      </c>
      <c r="G113" s="238">
        <v>6.78</v>
      </c>
      <c r="H113" s="268"/>
      <c r="I113" s="243">
        <v>12.88</v>
      </c>
      <c r="J113" s="243">
        <v>13.685</v>
      </c>
      <c r="K113" s="243">
        <v>13.685</v>
      </c>
      <c r="L113" s="243">
        <v>16.100000000000001</v>
      </c>
      <c r="M113" s="243">
        <v>28.98</v>
      </c>
      <c r="N113" s="243">
        <v>19.32</v>
      </c>
      <c r="O113" s="243">
        <v>19.32</v>
      </c>
      <c r="P113" s="243">
        <v>19.32</v>
      </c>
      <c r="Q113" s="243">
        <v>19.32</v>
      </c>
      <c r="R113" s="243">
        <v>20.34</v>
      </c>
      <c r="S113" s="243">
        <v>20.34</v>
      </c>
      <c r="T113" s="243">
        <v>20.34</v>
      </c>
      <c r="U113" s="263">
        <f t="shared" si="85"/>
        <v>223.63</v>
      </c>
      <c r="W113" s="264">
        <f t="shared" si="86"/>
        <v>2</v>
      </c>
      <c r="X113" s="264">
        <f t="shared" si="87"/>
        <v>2.125</v>
      </c>
      <c r="Y113" s="264">
        <f t="shared" si="88"/>
        <v>2.125</v>
      </c>
      <c r="Z113" s="264">
        <f t="shared" si="89"/>
        <v>2.5</v>
      </c>
      <c r="AA113" s="264">
        <f t="shared" si="90"/>
        <v>4.5</v>
      </c>
      <c r="AB113" s="264">
        <f t="shared" si="91"/>
        <v>3</v>
      </c>
      <c r="AC113" s="264">
        <f t="shared" si="92"/>
        <v>3</v>
      </c>
      <c r="AD113" s="264">
        <f t="shared" si="93"/>
        <v>3</v>
      </c>
      <c r="AE113" s="264">
        <f t="shared" si="94"/>
        <v>3</v>
      </c>
      <c r="AF113" s="264">
        <f t="shared" si="95"/>
        <v>3</v>
      </c>
      <c r="AG113" s="264">
        <f t="shared" si="96"/>
        <v>3</v>
      </c>
      <c r="AH113" s="264">
        <f t="shared" si="97"/>
        <v>3</v>
      </c>
      <c r="AI113" s="265">
        <f t="shared" si="104"/>
        <v>2.8541666666666665</v>
      </c>
      <c r="AJ113" s="266">
        <f t="shared" si="99"/>
        <v>34.25</v>
      </c>
      <c r="AN113" s="241">
        <v>1</v>
      </c>
      <c r="AO113" s="240">
        <f t="shared" si="100"/>
        <v>2.8541666666666665</v>
      </c>
      <c r="AP113" s="241">
        <v>0</v>
      </c>
      <c r="AQ113" s="240">
        <f t="shared" si="101"/>
        <v>0</v>
      </c>
      <c r="AR113" s="241">
        <v>0</v>
      </c>
      <c r="AS113" s="240">
        <f t="shared" si="102"/>
        <v>0</v>
      </c>
      <c r="AT113" s="241">
        <v>0</v>
      </c>
      <c r="AU113" s="240">
        <f t="shared" si="103"/>
        <v>0</v>
      </c>
    </row>
    <row r="114" spans="2:47" s="253" customFormat="1" ht="15" x14ac:dyDescent="0.25">
      <c r="B114" s="241" t="str">
        <f>"Vanc"&amp;"Commercial"&amp;C114</f>
        <v>VancCommercialOM64G</v>
      </c>
      <c r="C114" s="249" t="s">
        <v>1232</v>
      </c>
      <c r="D114" s="249" t="s">
        <v>1233</v>
      </c>
      <c r="E114" s="238">
        <v>7.62</v>
      </c>
      <c r="F114" s="238">
        <v>7.62</v>
      </c>
      <c r="G114" s="238">
        <v>8.0299999999999994</v>
      </c>
      <c r="H114" s="268"/>
      <c r="I114" s="243">
        <v>144.78</v>
      </c>
      <c r="J114" s="243">
        <v>144.78</v>
      </c>
      <c r="K114" s="243">
        <v>68.58</v>
      </c>
      <c r="L114" s="243">
        <v>83.82</v>
      </c>
      <c r="M114" s="243">
        <v>83.82</v>
      </c>
      <c r="N114" s="243">
        <v>90.49</v>
      </c>
      <c r="O114" s="243">
        <v>94.3</v>
      </c>
      <c r="P114" s="243">
        <v>91.44</v>
      </c>
      <c r="Q114" s="243">
        <v>91.44</v>
      </c>
      <c r="R114" s="243">
        <v>96.36</v>
      </c>
      <c r="S114" s="243">
        <v>96.36</v>
      </c>
      <c r="T114" s="243">
        <v>96.36</v>
      </c>
      <c r="U114" s="263">
        <f t="shared" si="85"/>
        <v>1182.53</v>
      </c>
      <c r="W114" s="264">
        <f t="shared" si="86"/>
        <v>19</v>
      </c>
      <c r="X114" s="264">
        <f t="shared" si="87"/>
        <v>19</v>
      </c>
      <c r="Y114" s="264">
        <f t="shared" si="88"/>
        <v>9</v>
      </c>
      <c r="Z114" s="264">
        <f t="shared" si="89"/>
        <v>10.999999999999998</v>
      </c>
      <c r="AA114" s="264">
        <f t="shared" si="90"/>
        <v>10.999999999999998</v>
      </c>
      <c r="AB114" s="264">
        <f t="shared" si="91"/>
        <v>11.875328083989501</v>
      </c>
      <c r="AC114" s="264">
        <f t="shared" si="92"/>
        <v>12.375328083989501</v>
      </c>
      <c r="AD114" s="264">
        <f t="shared" si="93"/>
        <v>12</v>
      </c>
      <c r="AE114" s="264">
        <f t="shared" si="94"/>
        <v>12</v>
      </c>
      <c r="AF114" s="264">
        <f t="shared" si="95"/>
        <v>12</v>
      </c>
      <c r="AG114" s="264">
        <f t="shared" si="96"/>
        <v>12</v>
      </c>
      <c r="AH114" s="264">
        <f t="shared" si="97"/>
        <v>12</v>
      </c>
      <c r="AI114" s="265">
        <f t="shared" si="104"/>
        <v>12.770888013998251</v>
      </c>
      <c r="AJ114" s="266">
        <f t="shared" si="99"/>
        <v>153.250656167979</v>
      </c>
      <c r="AN114" s="241">
        <v>1</v>
      </c>
      <c r="AO114" s="240">
        <f t="shared" si="100"/>
        <v>12.770888013998251</v>
      </c>
      <c r="AP114" s="241">
        <v>0</v>
      </c>
      <c r="AQ114" s="240">
        <f t="shared" si="101"/>
        <v>0</v>
      </c>
      <c r="AR114" s="241">
        <v>0</v>
      </c>
      <c r="AS114" s="240">
        <f t="shared" si="102"/>
        <v>0</v>
      </c>
      <c r="AT114" s="241">
        <v>0</v>
      </c>
      <c r="AU114" s="240">
        <f t="shared" si="103"/>
        <v>0</v>
      </c>
    </row>
    <row r="115" spans="2:47" s="253" customFormat="1" ht="15" x14ac:dyDescent="0.25">
      <c r="B115" s="241" t="str">
        <f>"Vanc"&amp;"Commercial"&amp;C115</f>
        <v>VancCommercialOM96G</v>
      </c>
      <c r="C115" s="249" t="s">
        <v>1234</v>
      </c>
      <c r="D115" s="249" t="s">
        <v>1235</v>
      </c>
      <c r="E115" s="238">
        <v>8.81</v>
      </c>
      <c r="F115" s="238">
        <v>8.81</v>
      </c>
      <c r="G115" s="238">
        <v>9.2799999999999994</v>
      </c>
      <c r="H115" s="268"/>
      <c r="I115" s="243">
        <v>1801.635</v>
      </c>
      <c r="J115" s="243">
        <v>1814.75</v>
      </c>
      <c r="K115" s="243">
        <v>1957.78</v>
      </c>
      <c r="L115" s="243">
        <v>1880.9349999999999</v>
      </c>
      <c r="M115" s="243">
        <v>1876.5250000000001</v>
      </c>
      <c r="N115" s="243">
        <v>1862.21</v>
      </c>
      <c r="O115" s="243">
        <v>1862.21</v>
      </c>
      <c r="P115" s="243">
        <v>1858.91</v>
      </c>
      <c r="Q115" s="243">
        <v>1850.1000000000001</v>
      </c>
      <c r="R115" s="243">
        <v>1953.44</v>
      </c>
      <c r="S115" s="243">
        <v>1948.8</v>
      </c>
      <c r="T115" s="243">
        <v>1953.44</v>
      </c>
      <c r="U115" s="263">
        <f t="shared" si="85"/>
        <v>22620.734999999993</v>
      </c>
      <c r="W115" s="264">
        <f t="shared" si="86"/>
        <v>204.49886492622019</v>
      </c>
      <c r="X115" s="264">
        <f t="shared" si="87"/>
        <v>205.98751418842224</v>
      </c>
      <c r="Y115" s="264">
        <f t="shared" si="88"/>
        <v>222.22247446083995</v>
      </c>
      <c r="Z115" s="264">
        <f t="shared" si="89"/>
        <v>213.49999999999997</v>
      </c>
      <c r="AA115" s="264">
        <f t="shared" si="90"/>
        <v>212.99943246311011</v>
      </c>
      <c r="AB115" s="264">
        <f t="shared" si="91"/>
        <v>211.37457434733255</v>
      </c>
      <c r="AC115" s="264">
        <f t="shared" si="92"/>
        <v>211.37457434733255</v>
      </c>
      <c r="AD115" s="264">
        <f t="shared" si="93"/>
        <v>211</v>
      </c>
      <c r="AE115" s="264">
        <f t="shared" si="94"/>
        <v>210</v>
      </c>
      <c r="AF115" s="264">
        <f t="shared" si="95"/>
        <v>210.50000000000003</v>
      </c>
      <c r="AG115" s="264">
        <f t="shared" si="96"/>
        <v>210</v>
      </c>
      <c r="AH115" s="264">
        <f t="shared" si="97"/>
        <v>210.50000000000003</v>
      </c>
      <c r="AI115" s="265">
        <f t="shared" si="104"/>
        <v>211.16311956110482</v>
      </c>
      <c r="AJ115" s="266">
        <f t="shared" si="99"/>
        <v>2533.9574347332577</v>
      </c>
      <c r="AN115" s="241">
        <v>1</v>
      </c>
      <c r="AO115" s="240">
        <f t="shared" si="100"/>
        <v>211.16311956110482</v>
      </c>
      <c r="AP115" s="241">
        <v>0</v>
      </c>
      <c r="AQ115" s="240">
        <f t="shared" si="101"/>
        <v>0</v>
      </c>
      <c r="AR115" s="241">
        <v>0</v>
      </c>
      <c r="AS115" s="240">
        <f t="shared" si="102"/>
        <v>0</v>
      </c>
      <c r="AT115" s="241">
        <v>0</v>
      </c>
      <c r="AU115" s="240">
        <f t="shared" si="103"/>
        <v>0</v>
      </c>
    </row>
    <row r="116" spans="2:47" s="45" customFormat="1" x14ac:dyDescent="0.2">
      <c r="B116" s="1" t="str">
        <f>"Vanc"&amp;"residential extras"&amp;C116</f>
        <v>Vancresidential extrasYDX</v>
      </c>
      <c r="C116" s="58" t="s">
        <v>439</v>
      </c>
      <c r="D116" s="58" t="s">
        <v>449</v>
      </c>
      <c r="E116" s="11">
        <v>4.03</v>
      </c>
      <c r="F116" s="11">
        <v>4.03</v>
      </c>
      <c r="G116" s="11">
        <v>4.24</v>
      </c>
      <c r="H116" s="46"/>
      <c r="I116" s="14">
        <v>1265.4199999999998</v>
      </c>
      <c r="J116" s="14">
        <v>5823.62</v>
      </c>
      <c r="K116" s="14">
        <v>3848.65</v>
      </c>
      <c r="L116" s="14">
        <v>2804.88</v>
      </c>
      <c r="M116" s="14">
        <v>2039.1799999999998</v>
      </c>
      <c r="N116" s="14">
        <v>2506.6600000000003</v>
      </c>
      <c r="O116" s="14">
        <v>2712.2</v>
      </c>
      <c r="P116" s="14">
        <v>6065.15</v>
      </c>
      <c r="Q116" s="14">
        <v>2998.32</v>
      </c>
      <c r="R116" s="14">
        <v>925.3599999999999</v>
      </c>
      <c r="S116" s="14">
        <v>1062.48</v>
      </c>
      <c r="T116" s="14">
        <v>1233.8399999999999</v>
      </c>
      <c r="U116" s="73">
        <f t="shared" si="85"/>
        <v>33285.760000000002</v>
      </c>
      <c r="W116" s="49">
        <f t="shared" si="86"/>
        <v>313.99999999999994</v>
      </c>
      <c r="X116" s="49">
        <f t="shared" si="87"/>
        <v>1445.0669975186104</v>
      </c>
      <c r="Y116" s="49">
        <f t="shared" si="88"/>
        <v>955</v>
      </c>
      <c r="Z116" s="49">
        <f t="shared" si="89"/>
        <v>696</v>
      </c>
      <c r="AA116" s="49">
        <f t="shared" si="90"/>
        <v>505.99999999999994</v>
      </c>
      <c r="AB116" s="49">
        <f t="shared" si="91"/>
        <v>622</v>
      </c>
      <c r="AC116" s="49">
        <f t="shared" si="92"/>
        <v>673.00248138957807</v>
      </c>
      <c r="AD116" s="49">
        <f t="shared" si="93"/>
        <v>1504.9999999999998</v>
      </c>
      <c r="AE116" s="49">
        <f t="shared" si="94"/>
        <v>744</v>
      </c>
      <c r="AF116" s="49">
        <f t="shared" si="95"/>
        <v>218.24528301886789</v>
      </c>
      <c r="AG116" s="49">
        <f t="shared" si="96"/>
        <v>250.58490566037736</v>
      </c>
      <c r="AH116" s="49">
        <f t="shared" si="97"/>
        <v>290.99999999999994</v>
      </c>
      <c r="AI116" s="47">
        <f t="shared" si="104"/>
        <v>684.99163896561947</v>
      </c>
      <c r="AJ116" s="134">
        <f>SUM(W116:AH116)</f>
        <v>8219.8996675874332</v>
      </c>
    </row>
    <row r="117" spans="2:47" s="45" customFormat="1" x14ac:dyDescent="0.2">
      <c r="B117" s="1" t="str">
        <f>"Vanc"&amp;"residential"&amp;C117</f>
        <v>VancresidentialYDRENT</v>
      </c>
      <c r="C117" s="45" t="s">
        <v>442</v>
      </c>
      <c r="D117" s="45" t="s">
        <v>452</v>
      </c>
      <c r="E117" s="11">
        <v>1.99</v>
      </c>
      <c r="F117" s="11">
        <v>1.99</v>
      </c>
      <c r="G117" s="11">
        <v>4.2</v>
      </c>
      <c r="H117" s="76"/>
      <c r="I117" s="14">
        <v>0</v>
      </c>
      <c r="J117" s="14">
        <v>0</v>
      </c>
      <c r="K117" s="14">
        <v>0</v>
      </c>
      <c r="L117" s="14">
        <v>0</v>
      </c>
      <c r="M117" s="14">
        <v>0</v>
      </c>
      <c r="N117" s="14">
        <v>0</v>
      </c>
      <c r="O117" s="14">
        <v>0</v>
      </c>
      <c r="P117" s="14">
        <v>0</v>
      </c>
      <c r="Q117" s="14">
        <v>0</v>
      </c>
      <c r="R117" s="14">
        <v>0</v>
      </c>
      <c r="S117" s="14">
        <v>0</v>
      </c>
      <c r="T117" s="14">
        <v>2.38</v>
      </c>
      <c r="U117" s="73">
        <f>SUM(I117:T117)</f>
        <v>2.38</v>
      </c>
      <c r="W117" s="49">
        <f t="shared" si="86"/>
        <v>0</v>
      </c>
      <c r="X117" s="49">
        <f t="shared" si="87"/>
        <v>0</v>
      </c>
      <c r="Y117" s="49">
        <f t="shared" si="88"/>
        <v>0</v>
      </c>
      <c r="Z117" s="49">
        <f t="shared" si="89"/>
        <v>0</v>
      </c>
      <c r="AA117" s="49">
        <f t="shared" si="90"/>
        <v>0</v>
      </c>
      <c r="AB117" s="49">
        <f t="shared" si="91"/>
        <v>0</v>
      </c>
      <c r="AC117" s="49">
        <f t="shared" si="92"/>
        <v>0</v>
      </c>
      <c r="AD117" s="49">
        <f t="shared" si="93"/>
        <v>0</v>
      </c>
      <c r="AE117" s="49">
        <f t="shared" si="94"/>
        <v>0</v>
      </c>
      <c r="AF117" s="49">
        <f t="shared" si="95"/>
        <v>0</v>
      </c>
      <c r="AG117" s="49">
        <f t="shared" si="96"/>
        <v>0</v>
      </c>
      <c r="AH117" s="49">
        <f t="shared" si="97"/>
        <v>0.56666666666666665</v>
      </c>
      <c r="AI117" s="47">
        <f t="shared" si="104"/>
        <v>4.7222222222222221E-2</v>
      </c>
      <c r="AJ117" s="134">
        <f>SUM(W117:AH117)</f>
        <v>0.56666666666666665</v>
      </c>
      <c r="AN117" s="1">
        <v>1</v>
      </c>
      <c r="AO117" s="13">
        <f>+$AI117*AN117</f>
        <v>4.7222222222222221E-2</v>
      </c>
      <c r="AP117" s="1">
        <v>0</v>
      </c>
      <c r="AQ117" s="13">
        <f>+$AI117*AP117</f>
        <v>0</v>
      </c>
      <c r="AR117" s="1">
        <v>0</v>
      </c>
      <c r="AS117" s="13">
        <f>+$AI117*AR117</f>
        <v>0</v>
      </c>
      <c r="AT117" s="1">
        <v>0</v>
      </c>
      <c r="AU117" s="13">
        <f>+$AI117*AT117</f>
        <v>0</v>
      </c>
    </row>
    <row r="118" spans="2:47" s="45" customFormat="1" x14ac:dyDescent="0.2">
      <c r="B118" s="1" t="str">
        <f>"Vanc"&amp;"residential Extras"&amp;C118</f>
        <v>Vancresidential ExtrasYDPLACE</v>
      </c>
      <c r="C118" s="58" t="s">
        <v>443</v>
      </c>
      <c r="D118" s="58" t="s">
        <v>453</v>
      </c>
      <c r="E118" s="11">
        <v>8</v>
      </c>
      <c r="F118" s="11">
        <v>8</v>
      </c>
      <c r="G118" s="11">
        <v>8.43</v>
      </c>
      <c r="H118" s="46"/>
      <c r="I118" s="14">
        <v>208</v>
      </c>
      <c r="J118" s="14">
        <v>384</v>
      </c>
      <c r="K118" s="14">
        <v>112</v>
      </c>
      <c r="L118" s="14">
        <v>128</v>
      </c>
      <c r="M118" s="14">
        <v>80</v>
      </c>
      <c r="N118" s="14">
        <v>80</v>
      </c>
      <c r="O118" s="14">
        <v>144</v>
      </c>
      <c r="P118" s="14">
        <v>64</v>
      </c>
      <c r="Q118" s="14">
        <v>32</v>
      </c>
      <c r="R118" s="14">
        <v>33.72</v>
      </c>
      <c r="S118" s="14">
        <v>33.72</v>
      </c>
      <c r="T118" s="14">
        <v>236.04</v>
      </c>
      <c r="U118" s="73">
        <f t="shared" si="85"/>
        <v>1535.48</v>
      </c>
      <c r="W118" s="49">
        <f t="shared" si="86"/>
        <v>26</v>
      </c>
      <c r="X118" s="49">
        <f t="shared" si="87"/>
        <v>48</v>
      </c>
      <c r="Y118" s="49">
        <f t="shared" si="88"/>
        <v>14</v>
      </c>
      <c r="Z118" s="49">
        <f t="shared" si="89"/>
        <v>16</v>
      </c>
      <c r="AA118" s="49">
        <f t="shared" si="90"/>
        <v>10</v>
      </c>
      <c r="AB118" s="49">
        <f t="shared" si="91"/>
        <v>10</v>
      </c>
      <c r="AC118" s="49">
        <f t="shared" si="92"/>
        <v>18</v>
      </c>
      <c r="AD118" s="49">
        <f t="shared" si="93"/>
        <v>8</v>
      </c>
      <c r="AE118" s="49">
        <f t="shared" si="94"/>
        <v>4</v>
      </c>
      <c r="AF118" s="49">
        <f t="shared" si="95"/>
        <v>4</v>
      </c>
      <c r="AG118" s="49">
        <f t="shared" si="96"/>
        <v>4</v>
      </c>
      <c r="AH118" s="49">
        <f t="shared" si="97"/>
        <v>28</v>
      </c>
      <c r="AI118" s="47">
        <f t="shared" si="104"/>
        <v>15.833333333333334</v>
      </c>
      <c r="AJ118" s="134">
        <f>SUM(W118:AH118)</f>
        <v>190</v>
      </c>
    </row>
    <row r="119" spans="2:47" s="45" customFormat="1" x14ac:dyDescent="0.2">
      <c r="B119" s="1" t="str">
        <f>"Vanc"&amp;"residential Extras"&amp;C119</f>
        <v>Vancresidential ExtrasYDRESTART</v>
      </c>
      <c r="C119" s="58" t="s">
        <v>445</v>
      </c>
      <c r="D119" s="58" t="s">
        <v>455</v>
      </c>
      <c r="E119" s="11">
        <v>5.9950000000000001</v>
      </c>
      <c r="F119" s="11">
        <v>5.9950000000000001</v>
      </c>
      <c r="G119" s="11">
        <v>6.3150000000000004</v>
      </c>
      <c r="H119" s="46"/>
      <c r="I119" s="14">
        <v>131.88999999999999</v>
      </c>
      <c r="J119" s="14">
        <v>203.83</v>
      </c>
      <c r="K119" s="14">
        <v>35.97</v>
      </c>
      <c r="L119" s="14">
        <v>23.98</v>
      </c>
      <c r="M119" s="14">
        <v>-11.99</v>
      </c>
      <c r="N119" s="14">
        <v>11.99</v>
      </c>
      <c r="O119" s="14">
        <v>59.95</v>
      </c>
      <c r="P119" s="14">
        <v>35.97</v>
      </c>
      <c r="Q119" s="14">
        <v>0</v>
      </c>
      <c r="R119" s="14">
        <v>25.26</v>
      </c>
      <c r="S119" s="14">
        <v>0</v>
      </c>
      <c r="T119" s="14">
        <v>138.93</v>
      </c>
      <c r="U119" s="73">
        <f t="shared" si="85"/>
        <v>655.78</v>
      </c>
      <c r="W119" s="49">
        <f t="shared" si="86"/>
        <v>21.999999999999996</v>
      </c>
      <c r="X119" s="49">
        <f t="shared" si="87"/>
        <v>34</v>
      </c>
      <c r="Y119" s="49">
        <f t="shared" si="88"/>
        <v>6</v>
      </c>
      <c r="Z119" s="49">
        <f t="shared" si="89"/>
        <v>4</v>
      </c>
      <c r="AA119" s="49">
        <f t="shared" si="90"/>
        <v>-2</v>
      </c>
      <c r="AB119" s="49">
        <f t="shared" si="91"/>
        <v>2</v>
      </c>
      <c r="AC119" s="49">
        <f t="shared" si="92"/>
        <v>10</v>
      </c>
      <c r="AD119" s="49">
        <f t="shared" si="93"/>
        <v>6</v>
      </c>
      <c r="AE119" s="49">
        <f t="shared" si="94"/>
        <v>0</v>
      </c>
      <c r="AF119" s="49">
        <f t="shared" si="95"/>
        <v>4</v>
      </c>
      <c r="AG119" s="49">
        <f t="shared" si="96"/>
        <v>0</v>
      </c>
      <c r="AH119" s="49">
        <f t="shared" si="97"/>
        <v>22</v>
      </c>
      <c r="AI119" s="47">
        <f t="shared" si="104"/>
        <v>9</v>
      </c>
      <c r="AJ119" s="134">
        <f>SUM(W119:AH119)</f>
        <v>108</v>
      </c>
    </row>
    <row r="120" spans="2:47" s="45" customFormat="1" x14ac:dyDescent="0.2">
      <c r="C120" s="40"/>
      <c r="D120" s="40"/>
      <c r="E120" s="55"/>
      <c r="F120" s="55"/>
      <c r="G120" s="55"/>
      <c r="H120" s="46"/>
      <c r="I120" s="46"/>
      <c r="J120" s="46"/>
      <c r="U120" s="73"/>
      <c r="W120" s="48"/>
      <c r="X120" s="48"/>
      <c r="Y120" s="48"/>
      <c r="Z120" s="48"/>
      <c r="AA120" s="48"/>
      <c r="AB120" s="48"/>
      <c r="AC120" s="48"/>
      <c r="AD120" s="48"/>
      <c r="AE120" s="48"/>
      <c r="AF120" s="48"/>
      <c r="AG120" s="48"/>
      <c r="AH120" s="48"/>
      <c r="AI120" s="40"/>
    </row>
    <row r="121" spans="2:47" s="45" customFormat="1" x14ac:dyDescent="0.2">
      <c r="D121" s="52" t="s">
        <v>8</v>
      </c>
      <c r="E121" s="55"/>
      <c r="F121" s="55"/>
      <c r="G121" s="55"/>
      <c r="H121" s="77"/>
      <c r="I121" s="97">
        <f>SUM(I106:I120)</f>
        <v>247954.64</v>
      </c>
      <c r="J121" s="97">
        <f t="shared" ref="J121:U121" si="105">SUM(J106:J120)</f>
        <v>255697.08499999999</v>
      </c>
      <c r="K121" s="97">
        <f t="shared" si="105"/>
        <v>252517.91499999998</v>
      </c>
      <c r="L121" s="97">
        <f t="shared" si="105"/>
        <v>253703.33500000005</v>
      </c>
      <c r="M121" s="97">
        <f t="shared" si="105"/>
        <v>251887.88500000001</v>
      </c>
      <c r="N121" s="97">
        <f t="shared" si="105"/>
        <v>253106.93499999997</v>
      </c>
      <c r="O121" s="97">
        <f t="shared" si="105"/>
        <v>252148.095</v>
      </c>
      <c r="P121" s="97">
        <f t="shared" si="105"/>
        <v>255190.54</v>
      </c>
      <c r="Q121" s="97">
        <f t="shared" si="105"/>
        <v>251380.7</v>
      </c>
      <c r="R121" s="97">
        <f t="shared" si="105"/>
        <v>261772.905</v>
      </c>
      <c r="S121" s="97">
        <f t="shared" si="105"/>
        <v>260603.53499999997</v>
      </c>
      <c r="T121" s="97">
        <f t="shared" si="105"/>
        <v>261950.21999999997</v>
      </c>
      <c r="U121" s="97">
        <f t="shared" si="105"/>
        <v>3057913.7899999986</v>
      </c>
      <c r="W121" s="185">
        <f>SUM(W106:W115)</f>
        <v>29561.580250652547</v>
      </c>
      <c r="X121" s="185">
        <f t="shared" ref="X121:AJ121" si="106">SUM(X106:X115)</f>
        <v>29918.472095292149</v>
      </c>
      <c r="Y121" s="185">
        <f t="shared" si="106"/>
        <v>29822.911764949797</v>
      </c>
      <c r="Z121" s="185">
        <f t="shared" si="106"/>
        <v>30111.98380992332</v>
      </c>
      <c r="AA121" s="185">
        <f t="shared" si="106"/>
        <v>29989.966367093308</v>
      </c>
      <c r="AB121" s="185">
        <f t="shared" si="106"/>
        <v>30096.505192956156</v>
      </c>
      <c r="AC121" s="185">
        <f t="shared" si="106"/>
        <v>29944.024330060638</v>
      </c>
      <c r="AD121" s="185">
        <f t="shared" si="106"/>
        <v>29931.775634775222</v>
      </c>
      <c r="AE121" s="185">
        <f t="shared" si="106"/>
        <v>29844.299564513298</v>
      </c>
      <c r="AF121" s="185">
        <f t="shared" si="106"/>
        <v>29770.287466469352</v>
      </c>
      <c r="AG121" s="185">
        <f t="shared" si="106"/>
        <v>29621.680956272205</v>
      </c>
      <c r="AH121" s="185">
        <f t="shared" si="106"/>
        <v>29732.160943881529</v>
      </c>
      <c r="AI121" s="185">
        <f t="shared" si="106"/>
        <v>29862.137364736631</v>
      </c>
      <c r="AJ121" s="185">
        <f t="shared" si="106"/>
        <v>358345.64837683958</v>
      </c>
      <c r="AO121" s="186">
        <f>SUM(AO106:AO116)</f>
        <v>29862.137364736631</v>
      </c>
      <c r="AQ121" s="186">
        <f>SUM(AQ106:AQ116)</f>
        <v>0</v>
      </c>
      <c r="AS121" s="186">
        <f>SUM(AS106:AS116)</f>
        <v>0</v>
      </c>
      <c r="AU121" s="186">
        <f>SUM(AU106:AU116)</f>
        <v>0</v>
      </c>
    </row>
    <row r="122" spans="2:47" s="45" customFormat="1" x14ac:dyDescent="0.2">
      <c r="E122" s="55"/>
      <c r="F122" s="55"/>
      <c r="G122" s="55"/>
      <c r="H122" s="55"/>
      <c r="I122" s="46"/>
      <c r="J122" s="46" t="str">
        <f>IF(H122="","",(#REF!/H122)+(#REF!/#REF!))</f>
        <v/>
      </c>
      <c r="K122" s="49" t="str">
        <f>IF(H122="","",J122/12)</f>
        <v/>
      </c>
      <c r="U122" s="73"/>
      <c r="W122" s="48"/>
      <c r="X122" s="48"/>
      <c r="Y122" s="48"/>
      <c r="Z122" s="48"/>
      <c r="AA122" s="48"/>
      <c r="AB122" s="48"/>
      <c r="AC122" s="48"/>
      <c r="AD122" s="48"/>
      <c r="AE122" s="48"/>
      <c r="AF122" s="48"/>
      <c r="AG122" s="48"/>
      <c r="AH122" s="48"/>
      <c r="AI122" s="195">
        <f>+(AI121-19598)/19598</f>
        <v>0.52373392002942298</v>
      </c>
    </row>
    <row r="123" spans="2:47" x14ac:dyDescent="0.2">
      <c r="C123" s="70" t="s">
        <v>917</v>
      </c>
      <c r="D123" s="70" t="s">
        <v>917</v>
      </c>
    </row>
    <row r="124" spans="2:47" x14ac:dyDescent="0.2">
      <c r="C124" s="70"/>
      <c r="D124" s="70"/>
    </row>
    <row r="125" spans="2:47" s="45" customFormat="1" x14ac:dyDescent="0.2">
      <c r="C125" s="42" t="s">
        <v>10</v>
      </c>
      <c r="D125" s="42" t="s">
        <v>10</v>
      </c>
      <c r="E125" s="55"/>
      <c r="F125" s="55"/>
      <c r="G125" s="55"/>
      <c r="H125" s="55"/>
      <c r="I125" s="46"/>
      <c r="J125" s="46" t="str">
        <f>IF(H125="","",(#REF!/H125)+(#REF!/#REF!))</f>
        <v/>
      </c>
      <c r="K125" s="49" t="str">
        <f>IF(H125="","",J125/12)</f>
        <v/>
      </c>
      <c r="U125" s="73"/>
      <c r="W125" s="48"/>
      <c r="X125" s="48"/>
      <c r="Y125" s="48"/>
      <c r="Z125" s="48"/>
      <c r="AA125" s="48"/>
      <c r="AB125" s="48"/>
      <c r="AC125" s="48"/>
      <c r="AD125" s="48"/>
      <c r="AE125" s="48"/>
      <c r="AF125" s="48"/>
      <c r="AG125" s="48"/>
      <c r="AH125" s="48"/>
      <c r="AI125" s="40"/>
    </row>
    <row r="126" spans="2:47" s="253" customFormat="1" x14ac:dyDescent="0.2">
      <c r="B126" s="241" t="str">
        <f>"Vanc"&amp;"commercial"&amp;C126</f>
        <v>VanccommercialVC15Y1W</v>
      </c>
      <c r="C126" s="232" t="s">
        <v>790</v>
      </c>
      <c r="D126" s="232" t="s">
        <v>213</v>
      </c>
      <c r="E126" s="238">
        <v>196.48</v>
      </c>
      <c r="F126" s="238">
        <v>196.48</v>
      </c>
      <c r="G126" s="238">
        <v>209.95</v>
      </c>
      <c r="H126" s="261"/>
      <c r="I126" s="243">
        <v>27470.519999999997</v>
      </c>
      <c r="J126" s="243">
        <v>28636.960000000003</v>
      </c>
      <c r="K126" s="243">
        <v>28293.119999999999</v>
      </c>
      <c r="L126" s="243">
        <v>28636.959999999999</v>
      </c>
      <c r="M126" s="243">
        <v>28833.439999999999</v>
      </c>
      <c r="N126" s="243">
        <v>28440.48</v>
      </c>
      <c r="O126" s="243">
        <v>28538.720000000001</v>
      </c>
      <c r="P126" s="243">
        <v>28735.200000000001</v>
      </c>
      <c r="Q126" s="243">
        <v>28882.560000000001</v>
      </c>
      <c r="R126" s="243">
        <v>30754.32</v>
      </c>
      <c r="S126" s="243">
        <v>30862.66</v>
      </c>
      <c r="T126" s="243">
        <v>30862.65</v>
      </c>
      <c r="U126" s="263">
        <f t="shared" ref="U126:U196" si="107">SUM(I126:T126)</f>
        <v>348947.59</v>
      </c>
      <c r="W126" s="264">
        <f t="shared" ref="W126:W189" si="108">IFERROR(I126/$E126,0)</f>
        <v>139.81331433224756</v>
      </c>
      <c r="X126" s="264">
        <f t="shared" ref="X126:X189" si="109">IFERROR(J126/$E126,0)</f>
        <v>145.75000000000003</v>
      </c>
      <c r="Y126" s="264">
        <f t="shared" ref="Y126:Y189" si="110">IFERROR(K126/$E126,0)</f>
        <v>144</v>
      </c>
      <c r="Z126" s="264">
        <f t="shared" ref="Z126:Z189" si="111">IFERROR(L126/$F126,0)</f>
        <v>145.75</v>
      </c>
      <c r="AA126" s="264">
        <f t="shared" ref="AA126:AA189" si="112">IFERROR(M126/$F126,0)</f>
        <v>146.75</v>
      </c>
      <c r="AB126" s="264">
        <f t="shared" ref="AB126:AB189" si="113">IFERROR(N126/$F126,0)</f>
        <v>144.75</v>
      </c>
      <c r="AC126" s="264">
        <f t="shared" ref="AC126:AC189" si="114">IFERROR(O126/$F126,0)</f>
        <v>145.25</v>
      </c>
      <c r="AD126" s="264">
        <f t="shared" ref="AD126:AD189" si="115">IFERROR(P126/$F126,0)</f>
        <v>146.25</v>
      </c>
      <c r="AE126" s="264">
        <f t="shared" ref="AE126:AE189" si="116">IFERROR(Q126/$F126,0)</f>
        <v>147.00000000000003</v>
      </c>
      <c r="AF126" s="264">
        <f t="shared" ref="AF126:AF189" si="117">IFERROR(R126/$G126,0)</f>
        <v>146.48402000476304</v>
      </c>
      <c r="AG126" s="264">
        <f t="shared" ref="AG126:AG189" si="118">IFERROR(S126/$G126,0)</f>
        <v>147.0000476303882</v>
      </c>
      <c r="AH126" s="264">
        <f t="shared" ref="AH126:AH189" si="119">IFERROR(T126/$G126,0)</f>
        <v>147.00000000000003</v>
      </c>
      <c r="AI126" s="265">
        <f t="shared" ref="AI126:AI196" si="120">+IFERROR(AVERAGE(W126:AH126),0)</f>
        <v>145.48311516394992</v>
      </c>
      <c r="AJ126" s="266">
        <f t="shared" ref="AJ126:AJ196" si="121">SUM(W126:AH126)</f>
        <v>1745.7973819673989</v>
      </c>
      <c r="AK126" s="45"/>
      <c r="AL126" s="266"/>
      <c r="AN126" s="241">
        <v>0</v>
      </c>
      <c r="AO126" s="240">
        <f t="shared" ref="AO126:AO157" si="122">+$AI126*AN126</f>
        <v>0</v>
      </c>
      <c r="AP126" s="241">
        <v>1</v>
      </c>
      <c r="AQ126" s="240">
        <f t="shared" ref="AQ126:AQ157" si="123">+$AI126*AP126</f>
        <v>145.48311516394992</v>
      </c>
      <c r="AR126" s="241">
        <v>0</v>
      </c>
      <c r="AS126" s="240">
        <f t="shared" ref="AS126:AS157" si="124">+$AI126*AR126</f>
        <v>0</v>
      </c>
      <c r="AT126" s="241">
        <v>0</v>
      </c>
      <c r="AU126" s="240">
        <f t="shared" ref="AU126:AU180" si="125">+$AI126*AT126</f>
        <v>0</v>
      </c>
    </row>
    <row r="127" spans="2:47" s="253" customFormat="1" x14ac:dyDescent="0.2">
      <c r="B127" s="241" t="str">
        <f>"Vanc"&amp;"commercial"&amp;C127</f>
        <v>VanccommercialRC15Y1W</v>
      </c>
      <c r="C127" s="232" t="s">
        <v>686</v>
      </c>
      <c r="D127" s="232" t="s">
        <v>213</v>
      </c>
      <c r="E127" s="238">
        <v>45.36</v>
      </c>
      <c r="F127" s="238">
        <v>45.36</v>
      </c>
      <c r="G127" s="238">
        <v>47.76</v>
      </c>
      <c r="H127" s="261"/>
      <c r="I127" s="243">
        <v>226.8</v>
      </c>
      <c r="J127" s="243">
        <v>226.8</v>
      </c>
      <c r="K127" s="243">
        <v>181.44</v>
      </c>
      <c r="L127" s="243">
        <v>181.44</v>
      </c>
      <c r="M127" s="243">
        <v>181.44</v>
      </c>
      <c r="N127" s="243">
        <v>181.44</v>
      </c>
      <c r="O127" s="243">
        <v>181.44</v>
      </c>
      <c r="P127" s="243">
        <v>181.44</v>
      </c>
      <c r="Q127" s="243">
        <v>181.44</v>
      </c>
      <c r="R127" s="243">
        <v>191.04</v>
      </c>
      <c r="S127" s="243">
        <v>191.04</v>
      </c>
      <c r="T127" s="243">
        <v>191.04</v>
      </c>
      <c r="U127" s="263">
        <f t="shared" si="107"/>
        <v>2296.8000000000002</v>
      </c>
      <c r="W127" s="264">
        <f t="shared" si="108"/>
        <v>5</v>
      </c>
      <c r="X127" s="264">
        <f t="shared" si="109"/>
        <v>5</v>
      </c>
      <c r="Y127" s="264">
        <f t="shared" si="110"/>
        <v>4</v>
      </c>
      <c r="Z127" s="264">
        <f t="shared" si="111"/>
        <v>4</v>
      </c>
      <c r="AA127" s="264">
        <f t="shared" si="112"/>
        <v>4</v>
      </c>
      <c r="AB127" s="264">
        <f t="shared" si="113"/>
        <v>4</v>
      </c>
      <c r="AC127" s="264">
        <f t="shared" si="114"/>
        <v>4</v>
      </c>
      <c r="AD127" s="264">
        <f t="shared" si="115"/>
        <v>4</v>
      </c>
      <c r="AE127" s="264">
        <f t="shared" si="116"/>
        <v>4</v>
      </c>
      <c r="AF127" s="264">
        <f t="shared" si="117"/>
        <v>4</v>
      </c>
      <c r="AG127" s="264">
        <f t="shared" si="118"/>
        <v>4</v>
      </c>
      <c r="AH127" s="264">
        <f t="shared" si="119"/>
        <v>4</v>
      </c>
      <c r="AI127" s="265">
        <f t="shared" si="120"/>
        <v>4.166666666666667</v>
      </c>
      <c r="AJ127" s="266">
        <f t="shared" si="121"/>
        <v>50</v>
      </c>
      <c r="AK127" s="45"/>
      <c r="AL127" s="266"/>
      <c r="AN127" s="241">
        <v>0</v>
      </c>
      <c r="AO127" s="240">
        <f t="shared" si="122"/>
        <v>0</v>
      </c>
      <c r="AP127" s="241">
        <v>1</v>
      </c>
      <c r="AQ127" s="240">
        <f t="shared" si="123"/>
        <v>4.166666666666667</v>
      </c>
      <c r="AR127" s="241">
        <v>0</v>
      </c>
      <c r="AS127" s="240">
        <f t="shared" si="124"/>
        <v>0</v>
      </c>
      <c r="AT127" s="241">
        <v>0</v>
      </c>
      <c r="AU127" s="240">
        <f t="shared" si="125"/>
        <v>0</v>
      </c>
    </row>
    <row r="128" spans="2:47" s="253" customFormat="1" x14ac:dyDescent="0.2">
      <c r="B128" s="241" t="str">
        <f t="shared" ref="B128:B226" si="126">"Vanc"&amp;"commercial"&amp;C128</f>
        <v>VanccommercialVC15Y2W</v>
      </c>
      <c r="C128" s="232" t="s">
        <v>791</v>
      </c>
      <c r="D128" s="232" t="s">
        <v>214</v>
      </c>
      <c r="E128" s="238">
        <v>392.95</v>
      </c>
      <c r="F128" s="238">
        <v>392.95</v>
      </c>
      <c r="G128" s="238">
        <v>419.9</v>
      </c>
      <c r="H128" s="261"/>
      <c r="I128" s="243">
        <v>5108.3500000000004</v>
      </c>
      <c r="J128" s="243">
        <v>5108.3500000000004</v>
      </c>
      <c r="K128" s="243">
        <v>5108.3500000000004</v>
      </c>
      <c r="L128" s="243">
        <v>5108.3500000000004</v>
      </c>
      <c r="M128" s="243">
        <v>5108.3500000000004</v>
      </c>
      <c r="N128" s="243">
        <v>5108.3500000000004</v>
      </c>
      <c r="O128" s="243">
        <v>5108.3500000000004</v>
      </c>
      <c r="P128" s="243">
        <v>5108.3500000000004</v>
      </c>
      <c r="Q128" s="243">
        <v>5108.3500000000004</v>
      </c>
      <c r="R128" s="243">
        <v>5458.7</v>
      </c>
      <c r="S128" s="243">
        <v>5458.7</v>
      </c>
      <c r="T128" s="243">
        <v>5458.7</v>
      </c>
      <c r="U128" s="263">
        <f t="shared" si="107"/>
        <v>62351.249999999985</v>
      </c>
      <c r="W128" s="264">
        <f t="shared" si="108"/>
        <v>13.000000000000002</v>
      </c>
      <c r="X128" s="264">
        <f t="shared" si="109"/>
        <v>13.000000000000002</v>
      </c>
      <c r="Y128" s="264">
        <f t="shared" si="110"/>
        <v>13.000000000000002</v>
      </c>
      <c r="Z128" s="264">
        <f t="shared" si="111"/>
        <v>13.000000000000002</v>
      </c>
      <c r="AA128" s="264">
        <f t="shared" si="112"/>
        <v>13.000000000000002</v>
      </c>
      <c r="AB128" s="264">
        <f t="shared" si="113"/>
        <v>13.000000000000002</v>
      </c>
      <c r="AC128" s="264">
        <f t="shared" si="114"/>
        <v>13.000000000000002</v>
      </c>
      <c r="AD128" s="264">
        <f t="shared" si="115"/>
        <v>13.000000000000002</v>
      </c>
      <c r="AE128" s="264">
        <f t="shared" si="116"/>
        <v>13.000000000000002</v>
      </c>
      <c r="AF128" s="264">
        <f t="shared" si="117"/>
        <v>13</v>
      </c>
      <c r="AG128" s="264">
        <f t="shared" si="118"/>
        <v>13</v>
      </c>
      <c r="AH128" s="264">
        <f t="shared" si="119"/>
        <v>13</v>
      </c>
      <c r="AI128" s="265">
        <f t="shared" si="120"/>
        <v>13</v>
      </c>
      <c r="AJ128" s="266">
        <f t="shared" si="121"/>
        <v>156</v>
      </c>
      <c r="AK128" s="45"/>
      <c r="AL128" s="266"/>
      <c r="AN128" s="241">
        <v>0</v>
      </c>
      <c r="AO128" s="240">
        <f t="shared" si="122"/>
        <v>0</v>
      </c>
      <c r="AP128" s="241">
        <v>1</v>
      </c>
      <c r="AQ128" s="240">
        <f t="shared" si="123"/>
        <v>13</v>
      </c>
      <c r="AR128" s="241">
        <v>0</v>
      </c>
      <c r="AS128" s="240">
        <f t="shared" si="124"/>
        <v>0</v>
      </c>
      <c r="AT128" s="241">
        <v>0</v>
      </c>
      <c r="AU128" s="240">
        <f t="shared" si="125"/>
        <v>0</v>
      </c>
    </row>
    <row r="129" spans="2:47" s="253" customFormat="1" x14ac:dyDescent="0.2">
      <c r="B129" s="241" t="str">
        <f t="shared" si="126"/>
        <v>VanccommercialVC15Y3W</v>
      </c>
      <c r="C129" s="232" t="s">
        <v>792</v>
      </c>
      <c r="D129" s="232" t="s">
        <v>851</v>
      </c>
      <c r="E129" s="238">
        <v>589.42999999999995</v>
      </c>
      <c r="F129" s="238">
        <v>589.42999999999995</v>
      </c>
      <c r="G129" s="238">
        <v>629.85</v>
      </c>
      <c r="H129" s="261"/>
      <c r="I129" s="243">
        <v>589.42999999999995</v>
      </c>
      <c r="J129" s="243">
        <v>589.42999999999995</v>
      </c>
      <c r="K129" s="243">
        <v>589.42999999999995</v>
      </c>
      <c r="L129" s="243">
        <v>589.42999999999995</v>
      </c>
      <c r="M129" s="243">
        <v>589.42999999999995</v>
      </c>
      <c r="N129" s="243">
        <v>589.42999999999995</v>
      </c>
      <c r="O129" s="243">
        <v>589.42999999999995</v>
      </c>
      <c r="P129" s="243">
        <v>589.42999999999995</v>
      </c>
      <c r="Q129" s="243">
        <v>589.42999999999995</v>
      </c>
      <c r="R129" s="243">
        <v>629.85</v>
      </c>
      <c r="S129" s="243">
        <v>629.85</v>
      </c>
      <c r="T129" s="243">
        <v>629.85</v>
      </c>
      <c r="U129" s="263">
        <f t="shared" si="107"/>
        <v>7194.420000000001</v>
      </c>
      <c r="W129" s="264">
        <f t="shared" si="108"/>
        <v>1</v>
      </c>
      <c r="X129" s="264">
        <f t="shared" si="109"/>
        <v>1</v>
      </c>
      <c r="Y129" s="264">
        <f t="shared" si="110"/>
        <v>1</v>
      </c>
      <c r="Z129" s="264">
        <f t="shared" si="111"/>
        <v>1</v>
      </c>
      <c r="AA129" s="264">
        <f t="shared" si="112"/>
        <v>1</v>
      </c>
      <c r="AB129" s="264">
        <f t="shared" si="113"/>
        <v>1</v>
      </c>
      <c r="AC129" s="264">
        <f t="shared" si="114"/>
        <v>1</v>
      </c>
      <c r="AD129" s="264">
        <f t="shared" si="115"/>
        <v>1</v>
      </c>
      <c r="AE129" s="264">
        <f t="shared" si="116"/>
        <v>1</v>
      </c>
      <c r="AF129" s="264">
        <f t="shared" si="117"/>
        <v>1</v>
      </c>
      <c r="AG129" s="264">
        <f t="shared" si="118"/>
        <v>1</v>
      </c>
      <c r="AH129" s="264">
        <f t="shared" si="119"/>
        <v>1</v>
      </c>
      <c r="AI129" s="265">
        <f t="shared" si="120"/>
        <v>1</v>
      </c>
      <c r="AJ129" s="266">
        <f t="shared" si="121"/>
        <v>12</v>
      </c>
      <c r="AK129" s="45"/>
      <c r="AL129" s="266"/>
      <c r="AN129" s="241">
        <v>0</v>
      </c>
      <c r="AO129" s="240">
        <f t="shared" si="122"/>
        <v>0</v>
      </c>
      <c r="AP129" s="241">
        <v>1</v>
      </c>
      <c r="AQ129" s="240">
        <f t="shared" si="123"/>
        <v>1</v>
      </c>
      <c r="AR129" s="241">
        <v>0</v>
      </c>
      <c r="AS129" s="240">
        <f t="shared" si="124"/>
        <v>0</v>
      </c>
      <c r="AT129" s="241">
        <v>0</v>
      </c>
      <c r="AU129" s="240">
        <f t="shared" si="125"/>
        <v>0</v>
      </c>
    </row>
    <row r="130" spans="2:47" s="253" customFormat="1" x14ac:dyDescent="0.2">
      <c r="B130" s="241" t="str">
        <f t="shared" si="126"/>
        <v>VanccommercialVC15Y4W</v>
      </c>
      <c r="C130" s="232" t="s">
        <v>793</v>
      </c>
      <c r="D130" s="232" t="s">
        <v>852</v>
      </c>
      <c r="E130" s="238">
        <v>785.9</v>
      </c>
      <c r="F130" s="238">
        <v>785.9</v>
      </c>
      <c r="G130" s="238">
        <v>839.8</v>
      </c>
      <c r="H130" s="261"/>
      <c r="I130" s="243">
        <v>785.9</v>
      </c>
      <c r="J130" s="243">
        <v>785.9</v>
      </c>
      <c r="K130" s="243">
        <v>785.9</v>
      </c>
      <c r="L130" s="243">
        <v>785.9</v>
      </c>
      <c r="M130" s="243">
        <v>785.9</v>
      </c>
      <c r="N130" s="243">
        <v>785.9</v>
      </c>
      <c r="O130" s="243">
        <v>785.9</v>
      </c>
      <c r="P130" s="243">
        <v>785.9</v>
      </c>
      <c r="Q130" s="243">
        <v>785.9</v>
      </c>
      <c r="R130" s="243">
        <v>839.8</v>
      </c>
      <c r="S130" s="243">
        <v>839.8</v>
      </c>
      <c r="T130" s="243">
        <v>839.8</v>
      </c>
      <c r="U130" s="263">
        <f t="shared" si="107"/>
        <v>9592.4999999999982</v>
      </c>
      <c r="W130" s="264">
        <f t="shared" si="108"/>
        <v>1</v>
      </c>
      <c r="X130" s="264">
        <f t="shared" si="109"/>
        <v>1</v>
      </c>
      <c r="Y130" s="264">
        <f t="shared" si="110"/>
        <v>1</v>
      </c>
      <c r="Z130" s="264">
        <f t="shared" si="111"/>
        <v>1</v>
      </c>
      <c r="AA130" s="264">
        <f t="shared" si="112"/>
        <v>1</v>
      </c>
      <c r="AB130" s="264">
        <f t="shared" si="113"/>
        <v>1</v>
      </c>
      <c r="AC130" s="264">
        <f t="shared" si="114"/>
        <v>1</v>
      </c>
      <c r="AD130" s="264">
        <f t="shared" si="115"/>
        <v>1</v>
      </c>
      <c r="AE130" s="264">
        <f t="shared" si="116"/>
        <v>1</v>
      </c>
      <c r="AF130" s="264">
        <f t="shared" si="117"/>
        <v>1</v>
      </c>
      <c r="AG130" s="264">
        <f t="shared" si="118"/>
        <v>1</v>
      </c>
      <c r="AH130" s="264">
        <f t="shared" si="119"/>
        <v>1</v>
      </c>
      <c r="AI130" s="265">
        <f t="shared" si="120"/>
        <v>1</v>
      </c>
      <c r="AJ130" s="266">
        <f t="shared" si="121"/>
        <v>12</v>
      </c>
      <c r="AK130" s="45"/>
      <c r="AL130" s="266"/>
      <c r="AN130" s="241">
        <v>0</v>
      </c>
      <c r="AO130" s="240">
        <f t="shared" si="122"/>
        <v>0</v>
      </c>
      <c r="AP130" s="241">
        <v>1</v>
      </c>
      <c r="AQ130" s="240">
        <f t="shared" si="123"/>
        <v>1</v>
      </c>
      <c r="AR130" s="241">
        <v>0</v>
      </c>
      <c r="AS130" s="240">
        <f t="shared" si="124"/>
        <v>0</v>
      </c>
      <c r="AT130" s="241">
        <v>0</v>
      </c>
      <c r="AU130" s="240">
        <f t="shared" si="125"/>
        <v>0</v>
      </c>
    </row>
    <row r="131" spans="2:47" s="253" customFormat="1" x14ac:dyDescent="0.2">
      <c r="B131" s="241" t="str">
        <f t="shared" si="126"/>
        <v>VanccommercialCC1Y1W</v>
      </c>
      <c r="C131" s="232" t="s">
        <v>112</v>
      </c>
      <c r="D131" s="232" t="s">
        <v>210</v>
      </c>
      <c r="E131" s="238">
        <v>157.18</v>
      </c>
      <c r="F131" s="238">
        <v>157.18</v>
      </c>
      <c r="G131" s="238">
        <v>167.96</v>
      </c>
      <c r="H131" s="261"/>
      <c r="I131" s="243">
        <v>0</v>
      </c>
      <c r="J131" s="243">
        <v>0</v>
      </c>
      <c r="K131" s="243">
        <v>0</v>
      </c>
      <c r="L131" s="243">
        <v>0</v>
      </c>
      <c r="M131" s="243">
        <v>0</v>
      </c>
      <c r="N131" s="243">
        <v>0</v>
      </c>
      <c r="O131" s="243">
        <v>0</v>
      </c>
      <c r="P131" s="243">
        <v>0</v>
      </c>
      <c r="Q131" s="243">
        <v>0</v>
      </c>
      <c r="R131" s="243">
        <v>0</v>
      </c>
      <c r="S131" s="243">
        <v>0</v>
      </c>
      <c r="T131" s="243">
        <v>0</v>
      </c>
      <c r="U131" s="263">
        <f t="shared" si="107"/>
        <v>0</v>
      </c>
      <c r="W131" s="264">
        <f t="shared" si="108"/>
        <v>0</v>
      </c>
      <c r="X131" s="264">
        <f t="shared" si="109"/>
        <v>0</v>
      </c>
      <c r="Y131" s="264">
        <f t="shared" si="110"/>
        <v>0</v>
      </c>
      <c r="Z131" s="264">
        <f t="shared" si="111"/>
        <v>0</v>
      </c>
      <c r="AA131" s="264">
        <f t="shared" si="112"/>
        <v>0</v>
      </c>
      <c r="AB131" s="264">
        <f t="shared" si="113"/>
        <v>0</v>
      </c>
      <c r="AC131" s="264">
        <f t="shared" si="114"/>
        <v>0</v>
      </c>
      <c r="AD131" s="264">
        <f t="shared" si="115"/>
        <v>0</v>
      </c>
      <c r="AE131" s="264">
        <f t="shared" si="116"/>
        <v>0</v>
      </c>
      <c r="AF131" s="264">
        <f t="shared" si="117"/>
        <v>0</v>
      </c>
      <c r="AG131" s="264">
        <f t="shared" si="118"/>
        <v>0</v>
      </c>
      <c r="AH131" s="264">
        <f t="shared" si="119"/>
        <v>0</v>
      </c>
      <c r="AI131" s="265">
        <f t="shared" si="120"/>
        <v>0</v>
      </c>
      <c r="AJ131" s="266">
        <f t="shared" si="121"/>
        <v>0</v>
      </c>
      <c r="AK131" s="45"/>
      <c r="AL131" s="266"/>
      <c r="AN131" s="241">
        <v>0</v>
      </c>
      <c r="AO131" s="240">
        <f t="shared" si="122"/>
        <v>0</v>
      </c>
      <c r="AP131" s="241">
        <v>1</v>
      </c>
      <c r="AQ131" s="240">
        <f t="shared" si="123"/>
        <v>0</v>
      </c>
      <c r="AR131" s="241">
        <v>0</v>
      </c>
      <c r="AS131" s="240">
        <f t="shared" si="124"/>
        <v>0</v>
      </c>
      <c r="AT131" s="241">
        <v>0</v>
      </c>
      <c r="AU131" s="240">
        <f t="shared" si="125"/>
        <v>0</v>
      </c>
    </row>
    <row r="132" spans="2:47" s="253" customFormat="1" x14ac:dyDescent="0.2">
      <c r="B132" s="241" t="str">
        <f t="shared" si="126"/>
        <v>VanccommercialVC1Y1W</v>
      </c>
      <c r="C132" s="232" t="s">
        <v>794</v>
      </c>
      <c r="D132" s="232" t="s">
        <v>210</v>
      </c>
      <c r="E132" s="238">
        <v>157.18</v>
      </c>
      <c r="F132" s="238">
        <v>157.18</v>
      </c>
      <c r="G132" s="238">
        <v>167.96</v>
      </c>
      <c r="H132" s="261"/>
      <c r="I132" s="243">
        <v>51319.229999999996</v>
      </c>
      <c r="J132" s="243">
        <v>51437.120000000003</v>
      </c>
      <c r="K132" s="243">
        <v>50808.42</v>
      </c>
      <c r="L132" s="243">
        <v>50336.88</v>
      </c>
      <c r="M132" s="243">
        <v>50454.77</v>
      </c>
      <c r="N132" s="243">
        <v>49590.3</v>
      </c>
      <c r="O132" s="243">
        <v>49826.100000000006</v>
      </c>
      <c r="P132" s="243">
        <v>50061.88</v>
      </c>
      <c r="Q132" s="243">
        <v>50336.909999999996</v>
      </c>
      <c r="R132" s="243">
        <v>53739.12</v>
      </c>
      <c r="S132" s="243">
        <v>53149.69</v>
      </c>
      <c r="T132" s="243">
        <v>53033.37</v>
      </c>
      <c r="U132" s="263">
        <f t="shared" si="107"/>
        <v>614093.79</v>
      </c>
      <c r="W132" s="264">
        <f t="shared" si="108"/>
        <v>326.49974551469649</v>
      </c>
      <c r="X132" s="264">
        <f t="shared" si="109"/>
        <v>327.24977732535945</v>
      </c>
      <c r="Y132" s="264">
        <f t="shared" si="110"/>
        <v>323.24990456801117</v>
      </c>
      <c r="Z132" s="264">
        <f t="shared" si="111"/>
        <v>320.24990456801117</v>
      </c>
      <c r="AA132" s="264">
        <f t="shared" si="112"/>
        <v>320.99993637867408</v>
      </c>
      <c r="AB132" s="264">
        <f t="shared" si="113"/>
        <v>315.50006362132586</v>
      </c>
      <c r="AC132" s="264">
        <f t="shared" si="114"/>
        <v>317.00025448530351</v>
      </c>
      <c r="AD132" s="264">
        <f t="shared" si="115"/>
        <v>318.50031810662932</v>
      </c>
      <c r="AE132" s="264">
        <f t="shared" si="116"/>
        <v>320.25009543198877</v>
      </c>
      <c r="AF132" s="264">
        <f t="shared" si="117"/>
        <v>319.95189330793045</v>
      </c>
      <c r="AG132" s="264">
        <f t="shared" si="118"/>
        <v>316.44254584424863</v>
      </c>
      <c r="AH132" s="264">
        <f t="shared" si="119"/>
        <v>315.75</v>
      </c>
      <c r="AI132" s="265">
        <f t="shared" si="120"/>
        <v>320.13703659601498</v>
      </c>
      <c r="AJ132" s="266">
        <f t="shared" si="121"/>
        <v>3841.6444391521795</v>
      </c>
      <c r="AK132" s="45"/>
      <c r="AL132" s="266"/>
      <c r="AN132" s="241">
        <v>0</v>
      </c>
      <c r="AO132" s="240">
        <f t="shared" si="122"/>
        <v>0</v>
      </c>
      <c r="AP132" s="241">
        <v>1</v>
      </c>
      <c r="AQ132" s="240">
        <f t="shared" si="123"/>
        <v>320.13703659601498</v>
      </c>
      <c r="AR132" s="241">
        <v>0</v>
      </c>
      <c r="AS132" s="240">
        <f t="shared" si="124"/>
        <v>0</v>
      </c>
      <c r="AT132" s="241">
        <v>0</v>
      </c>
      <c r="AU132" s="240">
        <f t="shared" si="125"/>
        <v>0</v>
      </c>
    </row>
    <row r="133" spans="2:47" s="253" customFormat="1" x14ac:dyDescent="0.2">
      <c r="B133" s="241" t="str">
        <f>"Vanc"&amp;"commercial"&amp;C133</f>
        <v>VanccommercialRC1Y1W</v>
      </c>
      <c r="C133" s="232" t="s">
        <v>687</v>
      </c>
      <c r="D133" s="232" t="s">
        <v>210</v>
      </c>
      <c r="E133" s="238">
        <v>30.25</v>
      </c>
      <c r="F133" s="238">
        <v>30.25</v>
      </c>
      <c r="G133" s="238">
        <v>31.83</v>
      </c>
      <c r="H133" s="261"/>
      <c r="I133" s="243">
        <v>0</v>
      </c>
      <c r="J133" s="243">
        <v>0</v>
      </c>
      <c r="K133" s="243">
        <v>0</v>
      </c>
      <c r="L133" s="243">
        <v>0</v>
      </c>
      <c r="M133" s="243">
        <v>0</v>
      </c>
      <c r="N133" s="243">
        <v>0</v>
      </c>
      <c r="O133" s="243">
        <v>0</v>
      </c>
      <c r="P133" s="243">
        <v>0</v>
      </c>
      <c r="Q133" s="243">
        <v>0</v>
      </c>
      <c r="R133" s="243">
        <v>0</v>
      </c>
      <c r="S133" s="243">
        <v>0</v>
      </c>
      <c r="T133" s="243">
        <v>0</v>
      </c>
      <c r="U133" s="263">
        <f t="shared" si="107"/>
        <v>0</v>
      </c>
      <c r="W133" s="264">
        <f t="shared" si="108"/>
        <v>0</v>
      </c>
      <c r="X133" s="264">
        <f t="shared" si="109"/>
        <v>0</v>
      </c>
      <c r="Y133" s="264">
        <f t="shared" si="110"/>
        <v>0</v>
      </c>
      <c r="Z133" s="264">
        <f t="shared" si="111"/>
        <v>0</v>
      </c>
      <c r="AA133" s="264">
        <f t="shared" si="112"/>
        <v>0</v>
      </c>
      <c r="AB133" s="264">
        <f t="shared" si="113"/>
        <v>0</v>
      </c>
      <c r="AC133" s="264">
        <f t="shared" si="114"/>
        <v>0</v>
      </c>
      <c r="AD133" s="264">
        <f t="shared" si="115"/>
        <v>0</v>
      </c>
      <c r="AE133" s="264">
        <f t="shared" si="116"/>
        <v>0</v>
      </c>
      <c r="AF133" s="264">
        <f t="shared" si="117"/>
        <v>0</v>
      </c>
      <c r="AG133" s="264">
        <f t="shared" si="118"/>
        <v>0</v>
      </c>
      <c r="AH133" s="264">
        <f t="shared" si="119"/>
        <v>0</v>
      </c>
      <c r="AI133" s="265">
        <f t="shared" si="120"/>
        <v>0</v>
      </c>
      <c r="AJ133" s="266">
        <f t="shared" si="121"/>
        <v>0</v>
      </c>
      <c r="AK133" s="45"/>
      <c r="AL133" s="266"/>
      <c r="AN133" s="241">
        <v>0</v>
      </c>
      <c r="AO133" s="240">
        <f t="shared" si="122"/>
        <v>0</v>
      </c>
      <c r="AP133" s="241">
        <v>1</v>
      </c>
      <c r="AQ133" s="240">
        <f t="shared" si="123"/>
        <v>0</v>
      </c>
      <c r="AR133" s="241">
        <v>0</v>
      </c>
      <c r="AS133" s="240">
        <f t="shared" si="124"/>
        <v>0</v>
      </c>
      <c r="AT133" s="241">
        <v>0</v>
      </c>
      <c r="AU133" s="240">
        <f t="shared" si="125"/>
        <v>0</v>
      </c>
    </row>
    <row r="134" spans="2:47" s="253" customFormat="1" x14ac:dyDescent="0.2">
      <c r="B134" s="241" t="str">
        <f>"Vanc"&amp;"commercial"&amp;C134</f>
        <v>VanccommercialCC2YEOW</v>
      </c>
      <c r="C134" s="232" t="s">
        <v>122</v>
      </c>
      <c r="D134" s="232" t="s">
        <v>221</v>
      </c>
      <c r="E134" s="238">
        <v>0</v>
      </c>
      <c r="F134" s="238">
        <v>0</v>
      </c>
      <c r="G134" s="238">
        <v>0</v>
      </c>
      <c r="H134" s="261"/>
      <c r="I134" s="243">
        <v>0</v>
      </c>
      <c r="J134" s="243">
        <v>0</v>
      </c>
      <c r="K134" s="243">
        <v>0</v>
      </c>
      <c r="L134" s="243">
        <v>0</v>
      </c>
      <c r="M134" s="243">
        <v>0</v>
      </c>
      <c r="N134" s="243">
        <v>0</v>
      </c>
      <c r="O134" s="243">
        <v>0</v>
      </c>
      <c r="P134" s="243">
        <v>0</v>
      </c>
      <c r="Q134" s="243">
        <v>0</v>
      </c>
      <c r="R134" s="243">
        <v>0</v>
      </c>
      <c r="S134" s="243">
        <v>0</v>
      </c>
      <c r="T134" s="243">
        <v>0</v>
      </c>
      <c r="U134" s="263">
        <f>SUM(I134:T134)</f>
        <v>0</v>
      </c>
      <c r="W134" s="264">
        <f t="shared" si="108"/>
        <v>0</v>
      </c>
      <c r="X134" s="264">
        <f t="shared" si="109"/>
        <v>0</v>
      </c>
      <c r="Y134" s="264">
        <f t="shared" si="110"/>
        <v>0</v>
      </c>
      <c r="Z134" s="264">
        <f t="shared" si="111"/>
        <v>0</v>
      </c>
      <c r="AA134" s="264">
        <f t="shared" si="112"/>
        <v>0</v>
      </c>
      <c r="AB134" s="264">
        <f t="shared" si="113"/>
        <v>0</v>
      </c>
      <c r="AC134" s="264">
        <f t="shared" si="114"/>
        <v>0</v>
      </c>
      <c r="AD134" s="264">
        <f t="shared" si="115"/>
        <v>0</v>
      </c>
      <c r="AE134" s="264">
        <f t="shared" si="116"/>
        <v>0</v>
      </c>
      <c r="AF134" s="264">
        <f t="shared" si="117"/>
        <v>0</v>
      </c>
      <c r="AG134" s="264">
        <f t="shared" si="118"/>
        <v>0</v>
      </c>
      <c r="AH134" s="264">
        <f t="shared" si="119"/>
        <v>0</v>
      </c>
      <c r="AI134" s="265">
        <f>+IFERROR(AVERAGE(W134:AH134),0)</f>
        <v>0</v>
      </c>
      <c r="AJ134" s="266">
        <f>SUM(W134:AH134)</f>
        <v>0</v>
      </c>
      <c r="AK134" s="45"/>
      <c r="AL134" s="266"/>
      <c r="AN134" s="241">
        <v>0</v>
      </c>
      <c r="AO134" s="240">
        <f t="shared" si="122"/>
        <v>0</v>
      </c>
      <c r="AP134" s="241">
        <v>1</v>
      </c>
      <c r="AQ134" s="240">
        <f t="shared" si="123"/>
        <v>0</v>
      </c>
      <c r="AR134" s="241">
        <v>0</v>
      </c>
      <c r="AS134" s="240">
        <f t="shared" si="124"/>
        <v>0</v>
      </c>
      <c r="AT134" s="241">
        <v>0</v>
      </c>
      <c r="AU134" s="240">
        <f>+$AI134*AT134</f>
        <v>0</v>
      </c>
    </row>
    <row r="135" spans="2:47" s="253" customFormat="1" x14ac:dyDescent="0.2">
      <c r="B135" s="241" t="str">
        <f>"Vanc"&amp;"commercial"&amp;C135</f>
        <v>VanccommercialCC2Y1W</v>
      </c>
      <c r="C135" s="232" t="s">
        <v>118</v>
      </c>
      <c r="D135" s="232" t="s">
        <v>216</v>
      </c>
      <c r="E135" s="232">
        <v>235.77</v>
      </c>
      <c r="F135" s="238">
        <v>235.77</v>
      </c>
      <c r="G135" s="238">
        <v>251.94</v>
      </c>
      <c r="H135" s="261"/>
      <c r="I135" s="243">
        <v>58.94</v>
      </c>
      <c r="J135" s="243">
        <v>235.77</v>
      </c>
      <c r="K135" s="243">
        <v>0</v>
      </c>
      <c r="L135" s="243">
        <v>0</v>
      </c>
      <c r="M135" s="243">
        <v>0</v>
      </c>
      <c r="N135" s="243">
        <v>0</v>
      </c>
      <c r="O135" s="243">
        <v>0</v>
      </c>
      <c r="P135" s="243">
        <v>0</v>
      </c>
      <c r="Q135" s="243">
        <v>0</v>
      </c>
      <c r="R135" s="243">
        <v>0</v>
      </c>
      <c r="S135" s="243">
        <v>0</v>
      </c>
      <c r="T135" s="243">
        <v>0</v>
      </c>
      <c r="U135" s="263">
        <f>SUM(I135:T135)</f>
        <v>294.71000000000004</v>
      </c>
      <c r="W135" s="264">
        <f t="shared" si="108"/>
        <v>0.24998939644568857</v>
      </c>
      <c r="X135" s="264">
        <f t="shared" si="109"/>
        <v>1</v>
      </c>
      <c r="Y135" s="264">
        <f t="shared" si="110"/>
        <v>0</v>
      </c>
      <c r="Z135" s="264">
        <f t="shared" si="111"/>
        <v>0</v>
      </c>
      <c r="AA135" s="264">
        <f t="shared" si="112"/>
        <v>0</v>
      </c>
      <c r="AB135" s="264">
        <f t="shared" si="113"/>
        <v>0</v>
      </c>
      <c r="AC135" s="264">
        <f t="shared" si="114"/>
        <v>0</v>
      </c>
      <c r="AD135" s="264">
        <f t="shared" si="115"/>
        <v>0</v>
      </c>
      <c r="AE135" s="264">
        <f t="shared" si="116"/>
        <v>0</v>
      </c>
      <c r="AF135" s="264">
        <f t="shared" si="117"/>
        <v>0</v>
      </c>
      <c r="AG135" s="264">
        <f t="shared" si="118"/>
        <v>0</v>
      </c>
      <c r="AH135" s="264">
        <f t="shared" si="119"/>
        <v>0</v>
      </c>
      <c r="AI135" s="265">
        <f>+IFERROR(AVERAGE(W135:AH135),0)</f>
        <v>0.10416578303714071</v>
      </c>
      <c r="AJ135" s="266">
        <f>SUM(W135:AH135)</f>
        <v>1.2499893964456885</v>
      </c>
      <c r="AK135" s="45"/>
      <c r="AL135" s="266"/>
      <c r="AN135" s="241">
        <v>0</v>
      </c>
      <c r="AO135" s="240">
        <f t="shared" si="122"/>
        <v>0</v>
      </c>
      <c r="AP135" s="241">
        <v>1</v>
      </c>
      <c r="AQ135" s="240">
        <f t="shared" si="123"/>
        <v>0.10416578303714071</v>
      </c>
      <c r="AR135" s="241">
        <v>0</v>
      </c>
      <c r="AS135" s="240">
        <f t="shared" si="124"/>
        <v>0</v>
      </c>
      <c r="AT135" s="241">
        <v>0</v>
      </c>
      <c r="AU135" s="240">
        <f>+$AI135*AT135</f>
        <v>0</v>
      </c>
    </row>
    <row r="136" spans="2:47" s="253" customFormat="1" x14ac:dyDescent="0.2">
      <c r="B136" s="241" t="str">
        <f>"Vanc"&amp;"commercial"&amp;C136</f>
        <v>VanccommercialVC1Y2W</v>
      </c>
      <c r="C136" s="232" t="s">
        <v>1240</v>
      </c>
      <c r="D136" s="232" t="s">
        <v>211</v>
      </c>
      <c r="E136" s="232">
        <v>314.36</v>
      </c>
      <c r="F136" s="238">
        <v>314.36</v>
      </c>
      <c r="G136" s="238">
        <v>335.92</v>
      </c>
      <c r="H136" s="261"/>
      <c r="I136" s="243">
        <v>1571.8</v>
      </c>
      <c r="J136" s="243">
        <v>1257.44</v>
      </c>
      <c r="K136" s="243">
        <v>1257.44</v>
      </c>
      <c r="L136" s="243">
        <v>1257.44</v>
      </c>
      <c r="M136" s="243">
        <v>1257.44</v>
      </c>
      <c r="N136" s="243">
        <v>1257.44</v>
      </c>
      <c r="O136" s="243">
        <v>1257.44</v>
      </c>
      <c r="P136" s="243">
        <v>1257.44</v>
      </c>
      <c r="Q136" s="243">
        <v>1257.44</v>
      </c>
      <c r="R136" s="243">
        <v>1343.68</v>
      </c>
      <c r="S136" s="243">
        <v>1343.68</v>
      </c>
      <c r="T136" s="243">
        <v>1343.68</v>
      </c>
      <c r="U136" s="263">
        <f>SUM(I136:T136)</f>
        <v>15662.360000000002</v>
      </c>
      <c r="W136" s="264">
        <f t="shared" si="108"/>
        <v>5</v>
      </c>
      <c r="X136" s="264">
        <f t="shared" si="109"/>
        <v>4</v>
      </c>
      <c r="Y136" s="264">
        <f t="shared" si="110"/>
        <v>4</v>
      </c>
      <c r="Z136" s="264">
        <f t="shared" si="111"/>
        <v>4</v>
      </c>
      <c r="AA136" s="264">
        <f t="shared" si="112"/>
        <v>4</v>
      </c>
      <c r="AB136" s="264">
        <f t="shared" si="113"/>
        <v>4</v>
      </c>
      <c r="AC136" s="264">
        <f t="shared" si="114"/>
        <v>4</v>
      </c>
      <c r="AD136" s="264">
        <f t="shared" si="115"/>
        <v>4</v>
      </c>
      <c r="AE136" s="264">
        <f t="shared" si="116"/>
        <v>4</v>
      </c>
      <c r="AF136" s="264">
        <f t="shared" si="117"/>
        <v>4</v>
      </c>
      <c r="AG136" s="264">
        <f t="shared" si="118"/>
        <v>4</v>
      </c>
      <c r="AH136" s="264">
        <f t="shared" si="119"/>
        <v>4</v>
      </c>
      <c r="AI136" s="265">
        <f>+IFERROR(AVERAGE(W136:AH136),0)</f>
        <v>4.083333333333333</v>
      </c>
      <c r="AJ136" s="266">
        <f>SUM(W136:AH136)</f>
        <v>49</v>
      </c>
      <c r="AK136" s="45"/>
      <c r="AL136" s="266"/>
      <c r="AN136" s="241">
        <v>0</v>
      </c>
      <c r="AO136" s="240">
        <f t="shared" si="122"/>
        <v>0</v>
      </c>
      <c r="AP136" s="241">
        <v>1</v>
      </c>
      <c r="AQ136" s="240">
        <f t="shared" si="123"/>
        <v>4.083333333333333</v>
      </c>
      <c r="AR136" s="241">
        <v>0</v>
      </c>
      <c r="AS136" s="240">
        <f t="shared" si="124"/>
        <v>0</v>
      </c>
      <c r="AT136" s="241">
        <v>0</v>
      </c>
      <c r="AU136" s="240">
        <f>+$AI136*AT136</f>
        <v>0</v>
      </c>
    </row>
    <row r="137" spans="2:47" s="253" customFormat="1" x14ac:dyDescent="0.2">
      <c r="B137" s="241" t="str">
        <f t="shared" si="126"/>
        <v>VanccommercialVC1Y3W</v>
      </c>
      <c r="C137" s="232" t="s">
        <v>795</v>
      </c>
      <c r="D137" s="232" t="s">
        <v>853</v>
      </c>
      <c r="E137" s="232">
        <v>471.54</v>
      </c>
      <c r="F137" s="238">
        <v>471.54</v>
      </c>
      <c r="G137" s="238">
        <v>503.88</v>
      </c>
      <c r="H137" s="261"/>
      <c r="I137" s="243">
        <v>0</v>
      </c>
      <c r="J137" s="243">
        <v>471.54</v>
      </c>
      <c r="K137" s="243">
        <v>471.54</v>
      </c>
      <c r="L137" s="243">
        <v>471.54</v>
      </c>
      <c r="M137" s="243">
        <v>471.54</v>
      </c>
      <c r="N137" s="243">
        <v>471.54</v>
      </c>
      <c r="O137" s="243">
        <v>471.54</v>
      </c>
      <c r="P137" s="243">
        <v>471.54</v>
      </c>
      <c r="Q137" s="243">
        <v>471.54</v>
      </c>
      <c r="R137" s="243">
        <v>503.88</v>
      </c>
      <c r="S137" s="243">
        <v>503.88</v>
      </c>
      <c r="T137" s="243">
        <v>503.88</v>
      </c>
      <c r="U137" s="263">
        <f t="shared" si="107"/>
        <v>5283.96</v>
      </c>
      <c r="W137" s="264">
        <f t="shared" si="108"/>
        <v>0</v>
      </c>
      <c r="X137" s="264">
        <f t="shared" si="109"/>
        <v>1</v>
      </c>
      <c r="Y137" s="264">
        <f t="shared" si="110"/>
        <v>1</v>
      </c>
      <c r="Z137" s="264">
        <f t="shared" si="111"/>
        <v>1</v>
      </c>
      <c r="AA137" s="264">
        <f t="shared" si="112"/>
        <v>1</v>
      </c>
      <c r="AB137" s="264">
        <f t="shared" si="113"/>
        <v>1</v>
      </c>
      <c r="AC137" s="264">
        <f t="shared" si="114"/>
        <v>1</v>
      </c>
      <c r="AD137" s="264">
        <f t="shared" si="115"/>
        <v>1</v>
      </c>
      <c r="AE137" s="264">
        <f t="shared" si="116"/>
        <v>1</v>
      </c>
      <c r="AF137" s="264">
        <f t="shared" si="117"/>
        <v>1</v>
      </c>
      <c r="AG137" s="264">
        <f t="shared" si="118"/>
        <v>1</v>
      </c>
      <c r="AH137" s="264">
        <f t="shared" si="119"/>
        <v>1</v>
      </c>
      <c r="AI137" s="265">
        <f t="shared" si="120"/>
        <v>0.91666666666666663</v>
      </c>
      <c r="AJ137" s="266">
        <f t="shared" si="121"/>
        <v>11</v>
      </c>
      <c r="AK137" s="45"/>
      <c r="AL137" s="266"/>
      <c r="AN137" s="241">
        <v>0</v>
      </c>
      <c r="AO137" s="240">
        <f t="shared" si="122"/>
        <v>0</v>
      </c>
      <c r="AP137" s="241">
        <v>1</v>
      </c>
      <c r="AQ137" s="240">
        <f t="shared" si="123"/>
        <v>0.91666666666666663</v>
      </c>
      <c r="AR137" s="241">
        <v>0</v>
      </c>
      <c r="AS137" s="240">
        <f t="shared" si="124"/>
        <v>0</v>
      </c>
      <c r="AT137" s="241">
        <v>0</v>
      </c>
      <c r="AU137" s="240">
        <f t="shared" si="125"/>
        <v>0</v>
      </c>
    </row>
    <row r="138" spans="2:47" s="253" customFormat="1" x14ac:dyDescent="0.2">
      <c r="B138" s="241" t="str">
        <f t="shared" si="126"/>
        <v>VanccommercialVC2Y1W</v>
      </c>
      <c r="C138" s="232" t="s">
        <v>796</v>
      </c>
      <c r="D138" s="232" t="s">
        <v>216</v>
      </c>
      <c r="E138" s="238">
        <v>235.77</v>
      </c>
      <c r="F138" s="238">
        <v>235.77</v>
      </c>
      <c r="G138" s="238">
        <v>251.94</v>
      </c>
      <c r="H138" s="261"/>
      <c r="I138" s="243">
        <v>89805.55</v>
      </c>
      <c r="J138" s="243">
        <v>88354.78</v>
      </c>
      <c r="K138" s="243">
        <v>89356.800000000003</v>
      </c>
      <c r="L138" s="243">
        <v>88826.33</v>
      </c>
      <c r="M138" s="243">
        <v>89179.97</v>
      </c>
      <c r="N138" s="243">
        <v>88944.24</v>
      </c>
      <c r="O138" s="243">
        <v>87942.209999999992</v>
      </c>
      <c r="P138" s="243">
        <v>87706.43</v>
      </c>
      <c r="Q138" s="243">
        <v>87470.68</v>
      </c>
      <c r="R138" s="243">
        <v>93343.77</v>
      </c>
      <c r="S138" s="243">
        <v>93595.73000000001</v>
      </c>
      <c r="T138" s="243">
        <v>93721.700000000012</v>
      </c>
      <c r="U138" s="263">
        <f t="shared" si="107"/>
        <v>1078248.19</v>
      </c>
      <c r="W138" s="264">
        <f t="shared" si="108"/>
        <v>380.90321075624547</v>
      </c>
      <c r="X138" s="264">
        <f t="shared" si="109"/>
        <v>374.74988336090257</v>
      </c>
      <c r="Y138" s="264">
        <f t="shared" si="110"/>
        <v>378.99987275734827</v>
      </c>
      <c r="Z138" s="264">
        <f t="shared" si="111"/>
        <v>376.74992577511983</v>
      </c>
      <c r="AA138" s="264">
        <f t="shared" si="112"/>
        <v>378.24986215379391</v>
      </c>
      <c r="AB138" s="264">
        <f t="shared" si="113"/>
        <v>377.25003181066296</v>
      </c>
      <c r="AC138" s="264">
        <f t="shared" si="114"/>
        <v>372.99999999999994</v>
      </c>
      <c r="AD138" s="264">
        <f t="shared" si="115"/>
        <v>371.99995758578268</v>
      </c>
      <c r="AE138" s="264">
        <f t="shared" si="116"/>
        <v>371.00004241421721</v>
      </c>
      <c r="AF138" s="264">
        <f t="shared" si="117"/>
        <v>370.5</v>
      </c>
      <c r="AG138" s="264">
        <f t="shared" si="118"/>
        <v>371.50007938398034</v>
      </c>
      <c r="AH138" s="264">
        <f t="shared" si="119"/>
        <v>372.00007938398034</v>
      </c>
      <c r="AI138" s="265">
        <f t="shared" si="120"/>
        <v>374.74191211516944</v>
      </c>
      <c r="AJ138" s="266">
        <f t="shared" si="121"/>
        <v>4496.9029453820331</v>
      </c>
      <c r="AK138" s="45"/>
      <c r="AL138" s="266"/>
      <c r="AN138" s="241">
        <v>0</v>
      </c>
      <c r="AO138" s="240">
        <f t="shared" si="122"/>
        <v>0</v>
      </c>
      <c r="AP138" s="241">
        <v>1</v>
      </c>
      <c r="AQ138" s="240">
        <f t="shared" si="123"/>
        <v>374.74191211516944</v>
      </c>
      <c r="AR138" s="241">
        <v>0</v>
      </c>
      <c r="AS138" s="240">
        <f t="shared" si="124"/>
        <v>0</v>
      </c>
      <c r="AT138" s="241">
        <v>0</v>
      </c>
      <c r="AU138" s="240">
        <f t="shared" si="125"/>
        <v>0</v>
      </c>
    </row>
    <row r="139" spans="2:47" s="253" customFormat="1" x14ac:dyDescent="0.2">
      <c r="B139" s="241" t="str">
        <f>"Vanc"&amp;"commercial"&amp;C139</f>
        <v>VanccommercialRC2Y1W</v>
      </c>
      <c r="C139" s="232" t="s">
        <v>688</v>
      </c>
      <c r="D139" s="232" t="s">
        <v>216</v>
      </c>
      <c r="E139" s="238">
        <v>60.49</v>
      </c>
      <c r="F139" s="238">
        <v>60.49</v>
      </c>
      <c r="G139" s="238">
        <v>63.68</v>
      </c>
      <c r="H139" s="261"/>
      <c r="I139" s="243">
        <v>483.92</v>
      </c>
      <c r="J139" s="243">
        <v>483.92</v>
      </c>
      <c r="K139" s="243">
        <v>544.41</v>
      </c>
      <c r="L139" s="243">
        <v>544.41</v>
      </c>
      <c r="M139" s="243">
        <v>544.41</v>
      </c>
      <c r="N139" s="243">
        <v>544.41</v>
      </c>
      <c r="O139" s="243">
        <v>544.41</v>
      </c>
      <c r="P139" s="243">
        <v>544.41</v>
      </c>
      <c r="Q139" s="243">
        <v>544.41</v>
      </c>
      <c r="R139" s="243">
        <v>573.12</v>
      </c>
      <c r="S139" s="243">
        <v>573.12</v>
      </c>
      <c r="T139" s="243">
        <v>509.44</v>
      </c>
      <c r="U139" s="263">
        <f t="shared" si="107"/>
        <v>6434.3899999999985</v>
      </c>
      <c r="W139" s="264">
        <f t="shared" si="108"/>
        <v>8</v>
      </c>
      <c r="X139" s="264">
        <f t="shared" si="109"/>
        <v>8</v>
      </c>
      <c r="Y139" s="264">
        <f t="shared" si="110"/>
        <v>9</v>
      </c>
      <c r="Z139" s="264">
        <f t="shared" si="111"/>
        <v>9</v>
      </c>
      <c r="AA139" s="264">
        <f t="shared" si="112"/>
        <v>9</v>
      </c>
      <c r="AB139" s="264">
        <f t="shared" si="113"/>
        <v>9</v>
      </c>
      <c r="AC139" s="264">
        <f t="shared" si="114"/>
        <v>9</v>
      </c>
      <c r="AD139" s="264">
        <f t="shared" si="115"/>
        <v>9</v>
      </c>
      <c r="AE139" s="264">
        <f t="shared" si="116"/>
        <v>9</v>
      </c>
      <c r="AF139" s="264">
        <f t="shared" si="117"/>
        <v>9</v>
      </c>
      <c r="AG139" s="264">
        <f t="shared" si="118"/>
        <v>9</v>
      </c>
      <c r="AH139" s="264">
        <f t="shared" si="119"/>
        <v>8</v>
      </c>
      <c r="AI139" s="265">
        <f t="shared" si="120"/>
        <v>8.75</v>
      </c>
      <c r="AJ139" s="266">
        <f t="shared" si="121"/>
        <v>105</v>
      </c>
      <c r="AK139" s="45"/>
      <c r="AL139" s="266"/>
      <c r="AN139" s="241">
        <v>0</v>
      </c>
      <c r="AO139" s="240">
        <f t="shared" si="122"/>
        <v>0</v>
      </c>
      <c r="AP139" s="241">
        <v>1</v>
      </c>
      <c r="AQ139" s="240">
        <f t="shared" si="123"/>
        <v>8.75</v>
      </c>
      <c r="AR139" s="241">
        <v>0</v>
      </c>
      <c r="AS139" s="240">
        <f t="shared" si="124"/>
        <v>0</v>
      </c>
      <c r="AT139" s="241">
        <v>0</v>
      </c>
      <c r="AU139" s="240">
        <f t="shared" si="125"/>
        <v>0</v>
      </c>
    </row>
    <row r="140" spans="2:47" s="253" customFormat="1" x14ac:dyDescent="0.2">
      <c r="B140" s="241" t="str">
        <f t="shared" si="126"/>
        <v>VanccommercialVC2Y2W</v>
      </c>
      <c r="C140" s="232" t="s">
        <v>797</v>
      </c>
      <c r="D140" s="232" t="s">
        <v>217</v>
      </c>
      <c r="E140" s="238">
        <v>471.54</v>
      </c>
      <c r="F140" s="238">
        <v>471.54</v>
      </c>
      <c r="G140" s="238">
        <v>503.88</v>
      </c>
      <c r="H140" s="261"/>
      <c r="I140" s="243">
        <v>31121.64</v>
      </c>
      <c r="J140" s="243">
        <v>31593.18</v>
      </c>
      <c r="K140" s="243">
        <v>31593.18</v>
      </c>
      <c r="L140" s="243">
        <v>31593.18</v>
      </c>
      <c r="M140" s="243">
        <v>31121.64</v>
      </c>
      <c r="N140" s="243">
        <v>31711.07</v>
      </c>
      <c r="O140" s="243">
        <v>32123.67</v>
      </c>
      <c r="P140" s="243">
        <v>32441.95</v>
      </c>
      <c r="Q140" s="243">
        <v>32772.03</v>
      </c>
      <c r="R140" s="243">
        <v>35271.599999999999</v>
      </c>
      <c r="S140" s="243">
        <v>34767.72</v>
      </c>
      <c r="T140" s="243">
        <v>34263.839999999997</v>
      </c>
      <c r="U140" s="263">
        <f t="shared" si="107"/>
        <v>390374.69999999995</v>
      </c>
      <c r="W140" s="264">
        <f t="shared" si="108"/>
        <v>66</v>
      </c>
      <c r="X140" s="264">
        <f t="shared" si="109"/>
        <v>67</v>
      </c>
      <c r="Y140" s="264">
        <f t="shared" si="110"/>
        <v>67</v>
      </c>
      <c r="Z140" s="264">
        <f t="shared" si="111"/>
        <v>67</v>
      </c>
      <c r="AA140" s="264">
        <f t="shared" si="112"/>
        <v>66</v>
      </c>
      <c r="AB140" s="264">
        <f t="shared" si="113"/>
        <v>67.250010603554301</v>
      </c>
      <c r="AC140" s="264">
        <f t="shared" si="114"/>
        <v>68.125015905331466</v>
      </c>
      <c r="AD140" s="264">
        <f t="shared" si="115"/>
        <v>68.799995758578277</v>
      </c>
      <c r="AE140" s="264">
        <f t="shared" si="116"/>
        <v>69.5</v>
      </c>
      <c r="AF140" s="264">
        <f t="shared" si="117"/>
        <v>70</v>
      </c>
      <c r="AG140" s="264">
        <f t="shared" si="118"/>
        <v>69</v>
      </c>
      <c r="AH140" s="264">
        <f t="shared" si="119"/>
        <v>68</v>
      </c>
      <c r="AI140" s="265">
        <f t="shared" si="120"/>
        <v>67.806251855621994</v>
      </c>
      <c r="AJ140" s="266">
        <f t="shared" si="121"/>
        <v>813.67502226746399</v>
      </c>
      <c r="AK140" s="45"/>
      <c r="AL140" s="266"/>
      <c r="AN140" s="241">
        <v>0</v>
      </c>
      <c r="AO140" s="240">
        <f t="shared" si="122"/>
        <v>0</v>
      </c>
      <c r="AP140" s="241">
        <v>1</v>
      </c>
      <c r="AQ140" s="240">
        <f t="shared" si="123"/>
        <v>67.806251855621994</v>
      </c>
      <c r="AR140" s="241">
        <v>0</v>
      </c>
      <c r="AS140" s="240">
        <f t="shared" si="124"/>
        <v>0</v>
      </c>
      <c r="AT140" s="241">
        <v>0</v>
      </c>
      <c r="AU140" s="240">
        <f t="shared" si="125"/>
        <v>0</v>
      </c>
    </row>
    <row r="141" spans="2:47" s="253" customFormat="1" x14ac:dyDescent="0.2">
      <c r="B141" s="241" t="str">
        <f t="shared" si="126"/>
        <v>VanccommercialVC2Y3W</v>
      </c>
      <c r="C141" s="232" t="s">
        <v>798</v>
      </c>
      <c r="D141" s="232" t="s">
        <v>218</v>
      </c>
      <c r="E141" s="238">
        <v>707.31</v>
      </c>
      <c r="F141" s="238">
        <v>707.31</v>
      </c>
      <c r="G141" s="238">
        <v>755.82</v>
      </c>
      <c r="H141" s="261"/>
      <c r="I141" s="243">
        <v>9195.0300000000007</v>
      </c>
      <c r="J141" s="243">
        <v>9195.0300000000007</v>
      </c>
      <c r="K141" s="243">
        <v>9195.0300000000007</v>
      </c>
      <c r="L141" s="243">
        <v>9195.0300000000007</v>
      </c>
      <c r="M141" s="243">
        <v>9195.0300000000007</v>
      </c>
      <c r="N141" s="243">
        <v>8664.5499999999993</v>
      </c>
      <c r="O141" s="243">
        <v>8487.7199999999993</v>
      </c>
      <c r="P141" s="243">
        <v>8487.7199999999993</v>
      </c>
      <c r="Q141" s="243">
        <v>8487.7199999999993</v>
      </c>
      <c r="R141" s="243">
        <v>9069.84</v>
      </c>
      <c r="S141" s="243">
        <v>9069.84</v>
      </c>
      <c r="T141" s="243">
        <v>9069.84</v>
      </c>
      <c r="U141" s="263">
        <f t="shared" si="107"/>
        <v>107312.37999999999</v>
      </c>
      <c r="W141" s="264">
        <f t="shared" si="108"/>
        <v>13.000000000000002</v>
      </c>
      <c r="X141" s="264">
        <f t="shared" si="109"/>
        <v>13.000000000000002</v>
      </c>
      <c r="Y141" s="264">
        <f t="shared" si="110"/>
        <v>13.000000000000002</v>
      </c>
      <c r="Z141" s="264">
        <f t="shared" si="111"/>
        <v>13.000000000000002</v>
      </c>
      <c r="AA141" s="264">
        <f t="shared" si="112"/>
        <v>13.000000000000002</v>
      </c>
      <c r="AB141" s="264">
        <f t="shared" si="113"/>
        <v>12.250003534518104</v>
      </c>
      <c r="AC141" s="264">
        <f t="shared" si="114"/>
        <v>12</v>
      </c>
      <c r="AD141" s="264">
        <f t="shared" si="115"/>
        <v>12</v>
      </c>
      <c r="AE141" s="264">
        <f t="shared" si="116"/>
        <v>12</v>
      </c>
      <c r="AF141" s="264">
        <f t="shared" si="117"/>
        <v>12</v>
      </c>
      <c r="AG141" s="264">
        <f t="shared" si="118"/>
        <v>12</v>
      </c>
      <c r="AH141" s="264">
        <f t="shared" si="119"/>
        <v>12</v>
      </c>
      <c r="AI141" s="265">
        <f t="shared" si="120"/>
        <v>12.437500294543176</v>
      </c>
      <c r="AJ141" s="266">
        <f t="shared" si="121"/>
        <v>149.2500035345181</v>
      </c>
      <c r="AK141" s="45"/>
      <c r="AL141" s="266"/>
      <c r="AN141" s="241">
        <v>0</v>
      </c>
      <c r="AO141" s="240">
        <f t="shared" si="122"/>
        <v>0</v>
      </c>
      <c r="AP141" s="241">
        <v>1</v>
      </c>
      <c r="AQ141" s="240">
        <f t="shared" si="123"/>
        <v>12.437500294543176</v>
      </c>
      <c r="AR141" s="241">
        <v>0</v>
      </c>
      <c r="AS141" s="240">
        <f t="shared" si="124"/>
        <v>0</v>
      </c>
      <c r="AT141" s="241">
        <v>0</v>
      </c>
      <c r="AU141" s="240">
        <f t="shared" si="125"/>
        <v>0</v>
      </c>
    </row>
    <row r="142" spans="2:47" s="253" customFormat="1" x14ac:dyDescent="0.2">
      <c r="B142" s="241" t="str">
        <f t="shared" si="126"/>
        <v>VanccommercialVC2Y4W</v>
      </c>
      <c r="C142" s="232" t="s">
        <v>799</v>
      </c>
      <c r="D142" s="232" t="s">
        <v>219</v>
      </c>
      <c r="E142" s="238">
        <v>943.08</v>
      </c>
      <c r="F142" s="238">
        <v>943.08</v>
      </c>
      <c r="G142" s="238">
        <v>1007.76</v>
      </c>
      <c r="H142" s="261"/>
      <c r="I142" s="243">
        <v>943.08</v>
      </c>
      <c r="J142" s="243">
        <v>943.08</v>
      </c>
      <c r="K142" s="243">
        <v>943.08</v>
      </c>
      <c r="L142" s="243">
        <v>1886.16</v>
      </c>
      <c r="M142" s="243">
        <v>1886.16</v>
      </c>
      <c r="N142" s="243">
        <v>1886.16</v>
      </c>
      <c r="O142" s="243">
        <v>1886.16</v>
      </c>
      <c r="P142" s="243">
        <v>1886.16</v>
      </c>
      <c r="Q142" s="243">
        <v>1886.16</v>
      </c>
      <c r="R142" s="243">
        <v>2015.52</v>
      </c>
      <c r="S142" s="243">
        <v>2015.52</v>
      </c>
      <c r="T142" s="243">
        <v>2897.32</v>
      </c>
      <c r="U142" s="263">
        <f t="shared" si="107"/>
        <v>21074.560000000001</v>
      </c>
      <c r="W142" s="264">
        <f t="shared" si="108"/>
        <v>1</v>
      </c>
      <c r="X142" s="264">
        <f t="shared" si="109"/>
        <v>1</v>
      </c>
      <c r="Y142" s="264">
        <f t="shared" si="110"/>
        <v>1</v>
      </c>
      <c r="Z142" s="264">
        <f t="shared" si="111"/>
        <v>2</v>
      </c>
      <c r="AA142" s="264">
        <f t="shared" si="112"/>
        <v>2</v>
      </c>
      <c r="AB142" s="264">
        <f t="shared" si="113"/>
        <v>2</v>
      </c>
      <c r="AC142" s="264">
        <f t="shared" si="114"/>
        <v>2</v>
      </c>
      <c r="AD142" s="264">
        <f t="shared" si="115"/>
        <v>2</v>
      </c>
      <c r="AE142" s="264">
        <f t="shared" si="116"/>
        <v>2</v>
      </c>
      <c r="AF142" s="264">
        <f t="shared" si="117"/>
        <v>2</v>
      </c>
      <c r="AG142" s="264">
        <f t="shared" si="118"/>
        <v>2</v>
      </c>
      <c r="AH142" s="264">
        <f t="shared" si="119"/>
        <v>2.8750099229975392</v>
      </c>
      <c r="AI142" s="265">
        <f t="shared" si="120"/>
        <v>1.8229174935831283</v>
      </c>
      <c r="AJ142" s="266">
        <f t="shared" si="121"/>
        <v>21.875009922997538</v>
      </c>
      <c r="AK142" s="45"/>
      <c r="AL142" s="266"/>
      <c r="AN142" s="241">
        <v>0</v>
      </c>
      <c r="AO142" s="240">
        <f t="shared" si="122"/>
        <v>0</v>
      </c>
      <c r="AP142" s="241">
        <v>1</v>
      </c>
      <c r="AQ142" s="240">
        <f t="shared" si="123"/>
        <v>1.8229174935831283</v>
      </c>
      <c r="AR142" s="241">
        <v>0</v>
      </c>
      <c r="AS142" s="240">
        <f t="shared" si="124"/>
        <v>0</v>
      </c>
      <c r="AT142" s="241">
        <v>0</v>
      </c>
      <c r="AU142" s="240">
        <f t="shared" si="125"/>
        <v>0</v>
      </c>
    </row>
    <row r="143" spans="2:47" s="253" customFormat="1" x14ac:dyDescent="0.2">
      <c r="B143" s="241" t="str">
        <f t="shared" si="126"/>
        <v>VanccommercialVC2Y5W</v>
      </c>
      <c r="C143" s="232" t="s">
        <v>800</v>
      </c>
      <c r="D143" s="232" t="s">
        <v>855</v>
      </c>
      <c r="E143" s="238">
        <v>1178.8499999999999</v>
      </c>
      <c r="F143" s="238">
        <v>1178.8499999999999</v>
      </c>
      <c r="G143" s="238">
        <v>1259.7</v>
      </c>
      <c r="H143" s="261"/>
      <c r="I143" s="243">
        <v>4715.3999999999996</v>
      </c>
      <c r="J143" s="243">
        <v>4715.3999999999996</v>
      </c>
      <c r="K143" s="243">
        <v>4715.3999999999996</v>
      </c>
      <c r="L143" s="243">
        <v>4715.3999999999996</v>
      </c>
      <c r="M143" s="243">
        <v>4715.3999999999996</v>
      </c>
      <c r="N143" s="243">
        <v>4715.3999999999996</v>
      </c>
      <c r="O143" s="243">
        <v>4715.3999999999996</v>
      </c>
      <c r="P143" s="243">
        <v>4715.3999999999996</v>
      </c>
      <c r="Q143" s="243">
        <v>4715.3999999999996</v>
      </c>
      <c r="R143" s="243">
        <v>5038.8</v>
      </c>
      <c r="S143" s="243">
        <v>5038.8</v>
      </c>
      <c r="T143" s="243">
        <v>5038.8</v>
      </c>
      <c r="U143" s="263">
        <f t="shared" si="107"/>
        <v>57555.000000000015</v>
      </c>
      <c r="W143" s="264">
        <f t="shared" si="108"/>
        <v>4</v>
      </c>
      <c r="X143" s="264">
        <f t="shared" si="109"/>
        <v>4</v>
      </c>
      <c r="Y143" s="264">
        <f t="shared" si="110"/>
        <v>4</v>
      </c>
      <c r="Z143" s="264">
        <f t="shared" si="111"/>
        <v>4</v>
      </c>
      <c r="AA143" s="264">
        <f t="shared" si="112"/>
        <v>4</v>
      </c>
      <c r="AB143" s="264">
        <f t="shared" si="113"/>
        <v>4</v>
      </c>
      <c r="AC143" s="264">
        <f t="shared" si="114"/>
        <v>4</v>
      </c>
      <c r="AD143" s="264">
        <f t="shared" si="115"/>
        <v>4</v>
      </c>
      <c r="AE143" s="264">
        <f t="shared" si="116"/>
        <v>4</v>
      </c>
      <c r="AF143" s="264">
        <f t="shared" si="117"/>
        <v>4</v>
      </c>
      <c r="AG143" s="264">
        <f t="shared" si="118"/>
        <v>4</v>
      </c>
      <c r="AH143" s="264">
        <f t="shared" si="119"/>
        <v>4</v>
      </c>
      <c r="AI143" s="265">
        <f t="shared" si="120"/>
        <v>4</v>
      </c>
      <c r="AJ143" s="266">
        <f t="shared" si="121"/>
        <v>48</v>
      </c>
      <c r="AK143" s="45"/>
      <c r="AL143" s="266"/>
      <c r="AN143" s="241">
        <v>0</v>
      </c>
      <c r="AO143" s="240">
        <f t="shared" si="122"/>
        <v>0</v>
      </c>
      <c r="AP143" s="241">
        <v>1</v>
      </c>
      <c r="AQ143" s="240">
        <f t="shared" si="123"/>
        <v>4</v>
      </c>
      <c r="AR143" s="241">
        <v>0</v>
      </c>
      <c r="AS143" s="240">
        <f t="shared" si="124"/>
        <v>0</v>
      </c>
      <c r="AT143" s="241">
        <v>0</v>
      </c>
      <c r="AU143" s="240">
        <f t="shared" si="125"/>
        <v>0</v>
      </c>
    </row>
    <row r="144" spans="2:47" s="253" customFormat="1" x14ac:dyDescent="0.2">
      <c r="B144" s="241" t="str">
        <f t="shared" si="126"/>
        <v>VanccommercialVC2Y6W</v>
      </c>
      <c r="C144" s="232" t="s">
        <v>801</v>
      </c>
      <c r="D144" s="232" t="s">
        <v>220</v>
      </c>
      <c r="E144" s="238">
        <v>1414.62</v>
      </c>
      <c r="F144" s="238">
        <v>1414.62</v>
      </c>
      <c r="G144" s="238">
        <v>1511.64</v>
      </c>
      <c r="H144" s="261"/>
      <c r="I144" s="243">
        <v>5658.48</v>
      </c>
      <c r="J144" s="243">
        <v>5658.48</v>
      </c>
      <c r="K144" s="243">
        <v>5658.48</v>
      </c>
      <c r="L144" s="243">
        <v>5658.48</v>
      </c>
      <c r="M144" s="243">
        <v>5658.48</v>
      </c>
      <c r="N144" s="243">
        <v>5658.48</v>
      </c>
      <c r="O144" s="243">
        <v>5658.48</v>
      </c>
      <c r="P144" s="243">
        <v>4385.32</v>
      </c>
      <c r="Q144" s="243">
        <v>4243.8599999999997</v>
      </c>
      <c r="R144" s="243">
        <v>4534.92</v>
      </c>
      <c r="S144" s="243">
        <v>4534.92</v>
      </c>
      <c r="T144" s="243">
        <v>4534.92</v>
      </c>
      <c r="U144" s="263">
        <f t="shared" si="107"/>
        <v>61843.299999999996</v>
      </c>
      <c r="W144" s="264">
        <f t="shared" si="108"/>
        <v>4</v>
      </c>
      <c r="X144" s="264">
        <f t="shared" si="109"/>
        <v>4</v>
      </c>
      <c r="Y144" s="264">
        <f t="shared" si="110"/>
        <v>4</v>
      </c>
      <c r="Z144" s="264">
        <f t="shared" si="111"/>
        <v>4</v>
      </c>
      <c r="AA144" s="264">
        <f t="shared" si="112"/>
        <v>4</v>
      </c>
      <c r="AB144" s="264">
        <f t="shared" si="113"/>
        <v>4</v>
      </c>
      <c r="AC144" s="264">
        <f t="shared" si="114"/>
        <v>4</v>
      </c>
      <c r="AD144" s="264">
        <f t="shared" si="115"/>
        <v>3.0999985861927586</v>
      </c>
      <c r="AE144" s="264">
        <f t="shared" si="116"/>
        <v>3</v>
      </c>
      <c r="AF144" s="264">
        <f t="shared" si="117"/>
        <v>3</v>
      </c>
      <c r="AG144" s="264">
        <f t="shared" si="118"/>
        <v>3</v>
      </c>
      <c r="AH144" s="264">
        <f t="shared" si="119"/>
        <v>3</v>
      </c>
      <c r="AI144" s="265">
        <f t="shared" si="120"/>
        <v>3.5916665488493962</v>
      </c>
      <c r="AJ144" s="266">
        <f t="shared" si="121"/>
        <v>43.099998586192754</v>
      </c>
      <c r="AK144" s="45"/>
      <c r="AL144" s="266"/>
      <c r="AN144" s="241">
        <v>0</v>
      </c>
      <c r="AO144" s="240">
        <f t="shared" si="122"/>
        <v>0</v>
      </c>
      <c r="AP144" s="241">
        <v>1</v>
      </c>
      <c r="AQ144" s="240">
        <f t="shared" si="123"/>
        <v>3.5916665488493962</v>
      </c>
      <c r="AR144" s="241">
        <v>0</v>
      </c>
      <c r="AS144" s="240">
        <f t="shared" si="124"/>
        <v>0</v>
      </c>
      <c r="AT144" s="241">
        <v>0</v>
      </c>
      <c r="AU144" s="240">
        <f t="shared" si="125"/>
        <v>0</v>
      </c>
    </row>
    <row r="145" spans="2:47" s="253" customFormat="1" x14ac:dyDescent="0.2">
      <c r="B145" s="241" t="str">
        <f t="shared" si="126"/>
        <v>VanccommercialVC3Y1W</v>
      </c>
      <c r="C145" s="232" t="s">
        <v>802</v>
      </c>
      <c r="D145" s="232" t="s">
        <v>222</v>
      </c>
      <c r="E145" s="238">
        <v>314.36</v>
      </c>
      <c r="F145" s="238">
        <v>314.36</v>
      </c>
      <c r="G145" s="238">
        <v>335.92</v>
      </c>
      <c r="H145" s="261"/>
      <c r="I145" s="243">
        <v>103817.39</v>
      </c>
      <c r="J145" s="243">
        <v>104288.93</v>
      </c>
      <c r="K145" s="243">
        <v>104053.16</v>
      </c>
      <c r="L145" s="243">
        <v>104288.93</v>
      </c>
      <c r="M145" s="243">
        <v>104996.24</v>
      </c>
      <c r="N145" s="243">
        <v>106924.31</v>
      </c>
      <c r="O145" s="243">
        <v>108218.43</v>
      </c>
      <c r="P145" s="243">
        <v>108689.97</v>
      </c>
      <c r="Q145" s="243">
        <v>108061.25</v>
      </c>
      <c r="R145" s="243">
        <v>115147.36</v>
      </c>
      <c r="S145" s="243">
        <v>114968.62</v>
      </c>
      <c r="T145" s="243">
        <v>115388.52</v>
      </c>
      <c r="U145" s="263">
        <f t="shared" si="107"/>
        <v>1298843.1099999999</v>
      </c>
      <c r="W145" s="264">
        <f t="shared" si="108"/>
        <v>330.25</v>
      </c>
      <c r="X145" s="264">
        <f t="shared" si="109"/>
        <v>331.74999999999994</v>
      </c>
      <c r="Y145" s="264">
        <f t="shared" si="110"/>
        <v>331</v>
      </c>
      <c r="Z145" s="264">
        <f t="shared" si="111"/>
        <v>331.74999999999994</v>
      </c>
      <c r="AA145" s="264">
        <f t="shared" si="112"/>
        <v>334</v>
      </c>
      <c r="AB145" s="264">
        <f t="shared" si="113"/>
        <v>340.13331848835725</v>
      </c>
      <c r="AC145" s="264">
        <f t="shared" si="114"/>
        <v>344.24999999999994</v>
      </c>
      <c r="AD145" s="264">
        <f t="shared" si="115"/>
        <v>345.75</v>
      </c>
      <c r="AE145" s="264">
        <f t="shared" si="116"/>
        <v>343.75</v>
      </c>
      <c r="AF145" s="264">
        <f t="shared" si="117"/>
        <v>342.78209097404141</v>
      </c>
      <c r="AG145" s="264">
        <f t="shared" si="118"/>
        <v>342.24999999999994</v>
      </c>
      <c r="AH145" s="264">
        <f t="shared" si="119"/>
        <v>343.5</v>
      </c>
      <c r="AI145" s="265">
        <f t="shared" si="120"/>
        <v>338.43045078853316</v>
      </c>
      <c r="AJ145" s="266">
        <f t="shared" si="121"/>
        <v>4061.1654094623982</v>
      </c>
      <c r="AK145" s="45"/>
      <c r="AL145" s="266"/>
      <c r="AN145" s="241">
        <v>0</v>
      </c>
      <c r="AO145" s="240">
        <f t="shared" si="122"/>
        <v>0</v>
      </c>
      <c r="AP145" s="241">
        <v>1</v>
      </c>
      <c r="AQ145" s="240">
        <f t="shared" si="123"/>
        <v>338.43045078853316</v>
      </c>
      <c r="AR145" s="241">
        <v>0</v>
      </c>
      <c r="AS145" s="240">
        <f t="shared" si="124"/>
        <v>0</v>
      </c>
      <c r="AT145" s="241">
        <v>0</v>
      </c>
      <c r="AU145" s="240">
        <f t="shared" si="125"/>
        <v>0</v>
      </c>
    </row>
    <row r="146" spans="2:47" s="253" customFormat="1" x14ac:dyDescent="0.2">
      <c r="B146" s="241" t="str">
        <f t="shared" si="126"/>
        <v>VanccommercialRC3Y1W</v>
      </c>
      <c r="C146" s="232" t="s">
        <v>689</v>
      </c>
      <c r="D146" s="232" t="s">
        <v>222</v>
      </c>
      <c r="E146" s="238">
        <v>90.74</v>
      </c>
      <c r="F146" s="238">
        <v>90.74</v>
      </c>
      <c r="G146" s="238">
        <v>95.51</v>
      </c>
      <c r="H146" s="261"/>
      <c r="I146" s="243">
        <v>1451.84</v>
      </c>
      <c r="J146" s="243">
        <v>1451.84</v>
      </c>
      <c r="K146" s="243">
        <v>1451.84</v>
      </c>
      <c r="L146" s="243">
        <v>1451.84</v>
      </c>
      <c r="M146" s="243">
        <v>1451.84</v>
      </c>
      <c r="N146" s="243">
        <v>1451.84</v>
      </c>
      <c r="O146" s="243">
        <v>1451.84</v>
      </c>
      <c r="P146" s="243">
        <v>1451.84</v>
      </c>
      <c r="Q146" s="243">
        <v>1451.84</v>
      </c>
      <c r="R146" s="243">
        <v>1528.16</v>
      </c>
      <c r="S146" s="243">
        <v>1432.65</v>
      </c>
      <c r="T146" s="243">
        <v>1528.16</v>
      </c>
      <c r="U146" s="263">
        <f>SUM(I146:T146)</f>
        <v>17555.53</v>
      </c>
      <c r="W146" s="264">
        <f t="shared" si="108"/>
        <v>16</v>
      </c>
      <c r="X146" s="264">
        <f t="shared" si="109"/>
        <v>16</v>
      </c>
      <c r="Y146" s="264">
        <f t="shared" si="110"/>
        <v>16</v>
      </c>
      <c r="Z146" s="264">
        <f t="shared" si="111"/>
        <v>16</v>
      </c>
      <c r="AA146" s="264">
        <f t="shared" si="112"/>
        <v>16</v>
      </c>
      <c r="AB146" s="264">
        <f t="shared" si="113"/>
        <v>16</v>
      </c>
      <c r="AC146" s="264">
        <f t="shared" si="114"/>
        <v>16</v>
      </c>
      <c r="AD146" s="264">
        <f t="shared" si="115"/>
        <v>16</v>
      </c>
      <c r="AE146" s="264">
        <f t="shared" si="116"/>
        <v>16</v>
      </c>
      <c r="AF146" s="264">
        <f t="shared" si="117"/>
        <v>16</v>
      </c>
      <c r="AG146" s="264">
        <f t="shared" si="118"/>
        <v>15</v>
      </c>
      <c r="AH146" s="264">
        <f t="shared" si="119"/>
        <v>16</v>
      </c>
      <c r="AI146" s="265">
        <f>+IFERROR(AVERAGE(W146:AH146),0)</f>
        <v>15.916666666666666</v>
      </c>
      <c r="AJ146" s="266">
        <f>SUM(W146:AH146)</f>
        <v>191</v>
      </c>
      <c r="AK146" s="45"/>
      <c r="AL146" s="266"/>
      <c r="AN146" s="241">
        <v>0</v>
      </c>
      <c r="AO146" s="240">
        <f t="shared" si="122"/>
        <v>0</v>
      </c>
      <c r="AP146" s="241">
        <v>1</v>
      </c>
      <c r="AQ146" s="240">
        <f t="shared" si="123"/>
        <v>15.916666666666666</v>
      </c>
      <c r="AR146" s="241">
        <v>0</v>
      </c>
      <c r="AS146" s="240">
        <f t="shared" si="124"/>
        <v>0</v>
      </c>
      <c r="AT146" s="241">
        <v>0</v>
      </c>
      <c r="AU146" s="240">
        <f>+$AI146*AT146</f>
        <v>0</v>
      </c>
    </row>
    <row r="147" spans="2:47" s="253" customFormat="1" x14ac:dyDescent="0.2">
      <c r="B147" s="241" t="str">
        <f>"Vanc"&amp;"commercial"&amp;C147</f>
        <v>VanccommercialRC3Y2W</v>
      </c>
      <c r="C147" s="232" t="s">
        <v>690</v>
      </c>
      <c r="D147" s="232" t="s">
        <v>223</v>
      </c>
      <c r="E147" s="238">
        <v>181.46</v>
      </c>
      <c r="F147" s="238">
        <v>181.46</v>
      </c>
      <c r="G147" s="238">
        <v>191.03</v>
      </c>
      <c r="H147" s="261"/>
      <c r="I147" s="243">
        <v>0</v>
      </c>
      <c r="J147" s="243">
        <v>0</v>
      </c>
      <c r="K147" s="243">
        <v>0</v>
      </c>
      <c r="L147" s="243">
        <v>0</v>
      </c>
      <c r="M147" s="243">
        <v>0</v>
      </c>
      <c r="N147" s="243">
        <v>0</v>
      </c>
      <c r="O147" s="243">
        <v>0</v>
      </c>
      <c r="P147" s="243">
        <v>0</v>
      </c>
      <c r="Q147" s="243">
        <v>0</v>
      </c>
      <c r="R147" s="243">
        <v>0</v>
      </c>
      <c r="S147" s="243">
        <v>191.03</v>
      </c>
      <c r="T147" s="243">
        <v>191.03</v>
      </c>
      <c r="U147" s="263">
        <f t="shared" si="107"/>
        <v>382.06</v>
      </c>
      <c r="W147" s="264">
        <f t="shared" si="108"/>
        <v>0</v>
      </c>
      <c r="X147" s="264">
        <f t="shared" si="109"/>
        <v>0</v>
      </c>
      <c r="Y147" s="264">
        <f t="shared" si="110"/>
        <v>0</v>
      </c>
      <c r="Z147" s="264">
        <f t="shared" si="111"/>
        <v>0</v>
      </c>
      <c r="AA147" s="264">
        <f t="shared" si="112"/>
        <v>0</v>
      </c>
      <c r="AB147" s="264">
        <f t="shared" si="113"/>
        <v>0</v>
      </c>
      <c r="AC147" s="264">
        <f t="shared" si="114"/>
        <v>0</v>
      </c>
      <c r="AD147" s="264">
        <f t="shared" si="115"/>
        <v>0</v>
      </c>
      <c r="AE147" s="264">
        <f t="shared" si="116"/>
        <v>0</v>
      </c>
      <c r="AF147" s="264">
        <f t="shared" si="117"/>
        <v>0</v>
      </c>
      <c r="AG147" s="264">
        <f t="shared" si="118"/>
        <v>1</v>
      </c>
      <c r="AH147" s="264">
        <f t="shared" si="119"/>
        <v>1</v>
      </c>
      <c r="AI147" s="265">
        <f t="shared" si="120"/>
        <v>0.16666666666666666</v>
      </c>
      <c r="AJ147" s="266">
        <f t="shared" si="121"/>
        <v>2</v>
      </c>
      <c r="AK147" s="45"/>
      <c r="AL147" s="266"/>
      <c r="AN147" s="241">
        <v>0</v>
      </c>
      <c r="AO147" s="240">
        <f t="shared" si="122"/>
        <v>0</v>
      </c>
      <c r="AP147" s="241">
        <v>1</v>
      </c>
      <c r="AQ147" s="240">
        <f t="shared" si="123"/>
        <v>0.16666666666666666</v>
      </c>
      <c r="AR147" s="241">
        <v>0</v>
      </c>
      <c r="AS147" s="240">
        <f t="shared" si="124"/>
        <v>0</v>
      </c>
      <c r="AT147" s="241">
        <v>0</v>
      </c>
      <c r="AU147" s="240">
        <f t="shared" si="125"/>
        <v>0</v>
      </c>
    </row>
    <row r="148" spans="2:47" s="253" customFormat="1" x14ac:dyDescent="0.2">
      <c r="B148" s="241" t="str">
        <f t="shared" si="126"/>
        <v>VanccommercialVC3Y2W</v>
      </c>
      <c r="C148" s="232" t="s">
        <v>803</v>
      </c>
      <c r="D148" s="232" t="s">
        <v>223</v>
      </c>
      <c r="E148" s="238">
        <v>628.72</v>
      </c>
      <c r="F148" s="238">
        <v>628.72</v>
      </c>
      <c r="G148" s="238">
        <v>671.84</v>
      </c>
      <c r="H148" s="261"/>
      <c r="I148" s="243">
        <v>61747.12</v>
      </c>
      <c r="J148" s="243">
        <v>61143.02</v>
      </c>
      <c r="K148" s="243">
        <v>63736.49</v>
      </c>
      <c r="L148" s="243">
        <v>64522.39</v>
      </c>
      <c r="M148" s="243">
        <v>64522.39</v>
      </c>
      <c r="N148" s="243">
        <v>63343.54</v>
      </c>
      <c r="O148" s="243">
        <v>63029.18</v>
      </c>
      <c r="P148" s="243">
        <v>63736.49</v>
      </c>
      <c r="Q148" s="243">
        <v>64129.440000000002</v>
      </c>
      <c r="R148" s="243">
        <v>68527.679999999993</v>
      </c>
      <c r="S148" s="243">
        <v>66176.240000000005</v>
      </c>
      <c r="T148" s="243">
        <v>65756.34</v>
      </c>
      <c r="U148" s="263">
        <f t="shared" si="107"/>
        <v>770370.32</v>
      </c>
      <c r="W148" s="264">
        <f t="shared" si="108"/>
        <v>98.21084107392798</v>
      </c>
      <c r="X148" s="264">
        <f t="shared" si="109"/>
        <v>97.249999999999986</v>
      </c>
      <c r="Y148" s="264">
        <f t="shared" si="110"/>
        <v>101.37499999999999</v>
      </c>
      <c r="Z148" s="264">
        <f t="shared" si="111"/>
        <v>102.625</v>
      </c>
      <c r="AA148" s="264">
        <f t="shared" si="112"/>
        <v>102.625</v>
      </c>
      <c r="AB148" s="264">
        <f t="shared" si="113"/>
        <v>100.75</v>
      </c>
      <c r="AC148" s="264">
        <f t="shared" si="114"/>
        <v>100.25</v>
      </c>
      <c r="AD148" s="264">
        <f t="shared" si="115"/>
        <v>101.37499999999999</v>
      </c>
      <c r="AE148" s="264">
        <f t="shared" si="116"/>
        <v>102</v>
      </c>
      <c r="AF148" s="264">
        <f t="shared" si="117"/>
        <v>101.99999999999999</v>
      </c>
      <c r="AG148" s="264">
        <f t="shared" si="118"/>
        <v>98.5</v>
      </c>
      <c r="AH148" s="264">
        <f t="shared" si="119"/>
        <v>97.874999999999986</v>
      </c>
      <c r="AI148" s="265">
        <f t="shared" si="120"/>
        <v>100.40298675616066</v>
      </c>
      <c r="AJ148" s="266">
        <f t="shared" si="121"/>
        <v>1204.8358410739279</v>
      </c>
      <c r="AK148" s="45"/>
      <c r="AL148" s="266"/>
      <c r="AN148" s="241">
        <v>0</v>
      </c>
      <c r="AO148" s="240">
        <f t="shared" si="122"/>
        <v>0</v>
      </c>
      <c r="AP148" s="241">
        <v>1</v>
      </c>
      <c r="AQ148" s="240">
        <f t="shared" si="123"/>
        <v>100.40298675616066</v>
      </c>
      <c r="AR148" s="241">
        <v>0</v>
      </c>
      <c r="AS148" s="240">
        <f t="shared" si="124"/>
        <v>0</v>
      </c>
      <c r="AT148" s="241">
        <v>0</v>
      </c>
      <c r="AU148" s="240">
        <f t="shared" si="125"/>
        <v>0</v>
      </c>
    </row>
    <row r="149" spans="2:47" s="253" customFormat="1" x14ac:dyDescent="0.2">
      <c r="B149" s="241" t="str">
        <f>"Vanc"&amp;"commercial"&amp;C149</f>
        <v>VanccommercialCC2Y3W</v>
      </c>
      <c r="C149" s="250" t="s">
        <v>120</v>
      </c>
      <c r="D149" s="232" t="s">
        <v>218</v>
      </c>
      <c r="E149" s="238">
        <v>707.31</v>
      </c>
      <c r="F149" s="238">
        <v>707.31</v>
      </c>
      <c r="G149" s="238">
        <v>755.82</v>
      </c>
      <c r="H149" s="261"/>
      <c r="I149" s="243">
        <v>0</v>
      </c>
      <c r="J149" s="243">
        <v>0</v>
      </c>
      <c r="K149" s="243">
        <v>0</v>
      </c>
      <c r="L149" s="243">
        <v>0</v>
      </c>
      <c r="M149" s="243">
        <v>0</v>
      </c>
      <c r="N149" s="243">
        <v>0</v>
      </c>
      <c r="O149" s="243">
        <v>0</v>
      </c>
      <c r="P149" s="243">
        <v>0</v>
      </c>
      <c r="Q149" s="243">
        <v>0</v>
      </c>
      <c r="R149" s="243">
        <v>0</v>
      </c>
      <c r="S149" s="243">
        <v>0</v>
      </c>
      <c r="T149" s="243">
        <v>0</v>
      </c>
      <c r="U149" s="263">
        <f t="shared" si="107"/>
        <v>0</v>
      </c>
      <c r="W149" s="264">
        <f t="shared" si="108"/>
        <v>0</v>
      </c>
      <c r="X149" s="264">
        <f t="shared" si="109"/>
        <v>0</v>
      </c>
      <c r="Y149" s="264">
        <f t="shared" si="110"/>
        <v>0</v>
      </c>
      <c r="Z149" s="264">
        <f t="shared" si="111"/>
        <v>0</v>
      </c>
      <c r="AA149" s="264">
        <f t="shared" si="112"/>
        <v>0</v>
      </c>
      <c r="AB149" s="264">
        <f t="shared" si="113"/>
        <v>0</v>
      </c>
      <c r="AC149" s="264">
        <f t="shared" si="114"/>
        <v>0</v>
      </c>
      <c r="AD149" s="264">
        <f t="shared" si="115"/>
        <v>0</v>
      </c>
      <c r="AE149" s="264">
        <f t="shared" si="116"/>
        <v>0</v>
      </c>
      <c r="AF149" s="264">
        <f t="shared" si="117"/>
        <v>0</v>
      </c>
      <c r="AG149" s="264">
        <f t="shared" si="118"/>
        <v>0</v>
      </c>
      <c r="AH149" s="264">
        <f t="shared" si="119"/>
        <v>0</v>
      </c>
      <c r="AI149" s="265">
        <f t="shared" si="120"/>
        <v>0</v>
      </c>
      <c r="AJ149" s="266">
        <f t="shared" si="121"/>
        <v>0</v>
      </c>
      <c r="AK149" s="45"/>
      <c r="AL149" s="266"/>
      <c r="AN149" s="241">
        <v>0</v>
      </c>
      <c r="AO149" s="240">
        <f t="shared" si="122"/>
        <v>0</v>
      </c>
      <c r="AP149" s="241">
        <v>1</v>
      </c>
      <c r="AQ149" s="240">
        <f t="shared" si="123"/>
        <v>0</v>
      </c>
      <c r="AR149" s="241">
        <v>0</v>
      </c>
      <c r="AS149" s="240">
        <f t="shared" si="124"/>
        <v>0</v>
      </c>
      <c r="AT149" s="241">
        <v>0</v>
      </c>
      <c r="AU149" s="240">
        <f t="shared" si="125"/>
        <v>0</v>
      </c>
    </row>
    <row r="150" spans="2:47" s="253" customFormat="1" x14ac:dyDescent="0.2">
      <c r="B150" s="241" t="str">
        <f t="shared" si="126"/>
        <v>VanccommercialVC3Y3W</v>
      </c>
      <c r="C150" s="232" t="s">
        <v>804</v>
      </c>
      <c r="D150" s="232" t="s">
        <v>224</v>
      </c>
      <c r="E150" s="238">
        <v>943.08</v>
      </c>
      <c r="F150" s="238">
        <v>943.08</v>
      </c>
      <c r="G150" s="238">
        <v>1007.76</v>
      </c>
      <c r="H150" s="261"/>
      <c r="I150" s="243">
        <v>29707.02</v>
      </c>
      <c r="J150" s="243">
        <v>29314.06</v>
      </c>
      <c r="K150" s="243">
        <v>31121.64</v>
      </c>
      <c r="L150" s="243">
        <v>32064.720000000001</v>
      </c>
      <c r="M150" s="243">
        <v>33479.339999999997</v>
      </c>
      <c r="N150" s="243">
        <v>31357.41</v>
      </c>
      <c r="O150" s="243">
        <v>31121.64</v>
      </c>
      <c r="P150" s="243">
        <v>30885.87</v>
      </c>
      <c r="Q150" s="243">
        <v>30178.560000000001</v>
      </c>
      <c r="R150" s="243">
        <v>32248.32</v>
      </c>
      <c r="S150" s="243">
        <v>33256.080000000002</v>
      </c>
      <c r="T150" s="243">
        <v>31408.52</v>
      </c>
      <c r="U150" s="263">
        <f t="shared" si="107"/>
        <v>376143.18000000005</v>
      </c>
      <c r="W150" s="264">
        <f t="shared" si="108"/>
        <v>31.5</v>
      </c>
      <c r="X150" s="264">
        <f t="shared" si="109"/>
        <v>31.08332272977902</v>
      </c>
      <c r="Y150" s="264">
        <f t="shared" si="110"/>
        <v>33</v>
      </c>
      <c r="Z150" s="264">
        <f t="shared" si="111"/>
        <v>34</v>
      </c>
      <c r="AA150" s="264">
        <f t="shared" si="112"/>
        <v>35.499999999999993</v>
      </c>
      <c r="AB150" s="264">
        <f t="shared" si="113"/>
        <v>33.25</v>
      </c>
      <c r="AC150" s="264">
        <f t="shared" si="114"/>
        <v>33</v>
      </c>
      <c r="AD150" s="264">
        <f t="shared" si="115"/>
        <v>32.75</v>
      </c>
      <c r="AE150" s="264">
        <f t="shared" si="116"/>
        <v>32</v>
      </c>
      <c r="AF150" s="264">
        <f t="shared" si="117"/>
        <v>32</v>
      </c>
      <c r="AG150" s="264">
        <f t="shared" si="118"/>
        <v>33</v>
      </c>
      <c r="AH150" s="264">
        <f t="shared" si="119"/>
        <v>31.166666666666668</v>
      </c>
      <c r="AI150" s="265">
        <f t="shared" si="120"/>
        <v>32.687499116370475</v>
      </c>
      <c r="AJ150" s="266">
        <f t="shared" si="121"/>
        <v>392.2499893964457</v>
      </c>
      <c r="AK150" s="45"/>
      <c r="AL150" s="266"/>
      <c r="AN150" s="241">
        <v>0</v>
      </c>
      <c r="AO150" s="240">
        <f t="shared" si="122"/>
        <v>0</v>
      </c>
      <c r="AP150" s="241">
        <v>1</v>
      </c>
      <c r="AQ150" s="240">
        <f t="shared" si="123"/>
        <v>32.687499116370475</v>
      </c>
      <c r="AR150" s="241">
        <v>0</v>
      </c>
      <c r="AS150" s="240">
        <f t="shared" si="124"/>
        <v>0</v>
      </c>
      <c r="AT150" s="241">
        <v>0</v>
      </c>
      <c r="AU150" s="240">
        <f t="shared" si="125"/>
        <v>0</v>
      </c>
    </row>
    <row r="151" spans="2:47" s="253" customFormat="1" x14ac:dyDescent="0.2">
      <c r="B151" s="241" t="str">
        <f t="shared" si="126"/>
        <v>VanccommercialCC3Y1W</v>
      </c>
      <c r="C151" s="232" t="s">
        <v>123</v>
      </c>
      <c r="D151" s="232" t="s">
        <v>222</v>
      </c>
      <c r="E151" s="238">
        <v>314.36</v>
      </c>
      <c r="F151" s="238">
        <v>314.36</v>
      </c>
      <c r="G151" s="238">
        <v>335.92</v>
      </c>
      <c r="H151" s="261"/>
      <c r="I151" s="243">
        <v>0</v>
      </c>
      <c r="J151" s="243">
        <v>0</v>
      </c>
      <c r="K151" s="243">
        <v>0</v>
      </c>
      <c r="L151" s="243">
        <v>0</v>
      </c>
      <c r="M151" s="243">
        <v>0</v>
      </c>
      <c r="N151" s="243">
        <v>0</v>
      </c>
      <c r="O151" s="243">
        <v>0</v>
      </c>
      <c r="P151" s="243">
        <v>0</v>
      </c>
      <c r="Q151" s="243">
        <v>314.36</v>
      </c>
      <c r="R151" s="243">
        <v>335.92</v>
      </c>
      <c r="S151" s="243">
        <v>0</v>
      </c>
      <c r="T151" s="243">
        <v>0</v>
      </c>
      <c r="U151" s="263">
        <f t="shared" si="107"/>
        <v>650.28</v>
      </c>
      <c r="W151" s="264">
        <f t="shared" si="108"/>
        <v>0</v>
      </c>
      <c r="X151" s="264">
        <f t="shared" si="109"/>
        <v>0</v>
      </c>
      <c r="Y151" s="264">
        <f t="shared" si="110"/>
        <v>0</v>
      </c>
      <c r="Z151" s="264">
        <f t="shared" si="111"/>
        <v>0</v>
      </c>
      <c r="AA151" s="264">
        <f t="shared" si="112"/>
        <v>0</v>
      </c>
      <c r="AB151" s="264">
        <f t="shared" si="113"/>
        <v>0</v>
      </c>
      <c r="AC151" s="264">
        <f t="shared" si="114"/>
        <v>0</v>
      </c>
      <c r="AD151" s="264">
        <f t="shared" si="115"/>
        <v>0</v>
      </c>
      <c r="AE151" s="264">
        <f t="shared" si="116"/>
        <v>1</v>
      </c>
      <c r="AF151" s="264">
        <f t="shared" si="117"/>
        <v>1</v>
      </c>
      <c r="AG151" s="264">
        <f t="shared" si="118"/>
        <v>0</v>
      </c>
      <c r="AH151" s="264">
        <f t="shared" si="119"/>
        <v>0</v>
      </c>
      <c r="AI151" s="265">
        <f t="shared" si="120"/>
        <v>0.16666666666666666</v>
      </c>
      <c r="AJ151" s="266">
        <f t="shared" si="121"/>
        <v>2</v>
      </c>
      <c r="AK151" s="45"/>
      <c r="AL151" s="266"/>
      <c r="AN151" s="241">
        <v>0</v>
      </c>
      <c r="AO151" s="240">
        <f t="shared" si="122"/>
        <v>0</v>
      </c>
      <c r="AP151" s="241">
        <v>1</v>
      </c>
      <c r="AQ151" s="240">
        <f t="shared" si="123"/>
        <v>0.16666666666666666</v>
      </c>
      <c r="AR151" s="241">
        <v>0</v>
      </c>
      <c r="AS151" s="240">
        <f t="shared" si="124"/>
        <v>0</v>
      </c>
      <c r="AT151" s="241">
        <v>0</v>
      </c>
      <c r="AU151" s="240">
        <f t="shared" si="125"/>
        <v>0</v>
      </c>
    </row>
    <row r="152" spans="2:47" s="253" customFormat="1" x14ac:dyDescent="0.2">
      <c r="B152" s="241" t="str">
        <f t="shared" si="126"/>
        <v>VanccommercialVC3Y4W</v>
      </c>
      <c r="C152" s="232" t="s">
        <v>805</v>
      </c>
      <c r="D152" s="232" t="s">
        <v>225</v>
      </c>
      <c r="E152" s="238">
        <v>1257.44</v>
      </c>
      <c r="F152" s="238">
        <v>1257.44</v>
      </c>
      <c r="G152" s="238">
        <v>1343.68</v>
      </c>
      <c r="H152" s="261"/>
      <c r="I152" s="243">
        <v>6287.2</v>
      </c>
      <c r="J152" s="243">
        <v>7230.28</v>
      </c>
      <c r="K152" s="243">
        <v>7544.64</v>
      </c>
      <c r="L152" s="243">
        <v>7544.64</v>
      </c>
      <c r="M152" s="243">
        <v>8173.36</v>
      </c>
      <c r="N152" s="243">
        <v>10059.52</v>
      </c>
      <c r="O152" s="243">
        <v>10059.52</v>
      </c>
      <c r="P152" s="243">
        <v>10373.879999999999</v>
      </c>
      <c r="Q152" s="243">
        <v>11316.96</v>
      </c>
      <c r="R152" s="243">
        <v>9405.76</v>
      </c>
      <c r="S152" s="243">
        <v>9405.76</v>
      </c>
      <c r="T152" s="243">
        <v>10413.52</v>
      </c>
      <c r="U152" s="263">
        <f t="shared" si="107"/>
        <v>107815.03999999999</v>
      </c>
      <c r="W152" s="264">
        <f t="shared" si="108"/>
        <v>5</v>
      </c>
      <c r="X152" s="264">
        <f t="shared" si="109"/>
        <v>5.7499999999999991</v>
      </c>
      <c r="Y152" s="264">
        <f t="shared" si="110"/>
        <v>6</v>
      </c>
      <c r="Z152" s="264">
        <f t="shared" si="111"/>
        <v>6</v>
      </c>
      <c r="AA152" s="264">
        <f t="shared" si="112"/>
        <v>6.4999999999999991</v>
      </c>
      <c r="AB152" s="264">
        <f t="shared" si="113"/>
        <v>8</v>
      </c>
      <c r="AC152" s="264">
        <f t="shared" si="114"/>
        <v>8</v>
      </c>
      <c r="AD152" s="264">
        <f t="shared" si="115"/>
        <v>8.2499999999999982</v>
      </c>
      <c r="AE152" s="264">
        <f t="shared" si="116"/>
        <v>8.9999999999999982</v>
      </c>
      <c r="AF152" s="264">
        <f t="shared" si="117"/>
        <v>7</v>
      </c>
      <c r="AG152" s="264">
        <f t="shared" si="118"/>
        <v>7</v>
      </c>
      <c r="AH152" s="264">
        <f t="shared" si="119"/>
        <v>7.75</v>
      </c>
      <c r="AI152" s="265">
        <f t="shared" si="120"/>
        <v>7.020833333333333</v>
      </c>
      <c r="AJ152" s="266">
        <f t="shared" si="121"/>
        <v>84.25</v>
      </c>
      <c r="AK152" s="45"/>
      <c r="AL152" s="266"/>
      <c r="AN152" s="241">
        <v>0</v>
      </c>
      <c r="AO152" s="240">
        <f t="shared" si="122"/>
        <v>0</v>
      </c>
      <c r="AP152" s="241">
        <v>1</v>
      </c>
      <c r="AQ152" s="240">
        <f t="shared" si="123"/>
        <v>7.020833333333333</v>
      </c>
      <c r="AR152" s="241">
        <v>0</v>
      </c>
      <c r="AS152" s="240">
        <f t="shared" si="124"/>
        <v>0</v>
      </c>
      <c r="AT152" s="241">
        <v>0</v>
      </c>
      <c r="AU152" s="240">
        <f t="shared" si="125"/>
        <v>0</v>
      </c>
    </row>
    <row r="153" spans="2:47" s="253" customFormat="1" x14ac:dyDescent="0.2">
      <c r="B153" s="241" t="str">
        <f t="shared" si="126"/>
        <v>VanccommercialVC3Y5W</v>
      </c>
      <c r="C153" s="232" t="s">
        <v>806</v>
      </c>
      <c r="D153" s="232" t="s">
        <v>226</v>
      </c>
      <c r="E153" s="238">
        <v>1571.8</v>
      </c>
      <c r="F153" s="238">
        <v>1571.8</v>
      </c>
      <c r="G153" s="238">
        <v>1679.6</v>
      </c>
      <c r="H153" s="261"/>
      <c r="I153" s="243">
        <v>7859</v>
      </c>
      <c r="J153" s="243">
        <v>6680.15</v>
      </c>
      <c r="K153" s="243">
        <v>6680.15</v>
      </c>
      <c r="L153" s="243">
        <v>4715.3999999999996</v>
      </c>
      <c r="M153" s="243">
        <v>4715.3999999999996</v>
      </c>
      <c r="N153" s="243">
        <v>4715.3999999999996</v>
      </c>
      <c r="O153" s="243">
        <v>4715.3999999999996</v>
      </c>
      <c r="P153" s="243">
        <v>4715.3999999999996</v>
      </c>
      <c r="Q153" s="243">
        <v>4715.3999999999996</v>
      </c>
      <c r="R153" s="243">
        <v>8398</v>
      </c>
      <c r="S153" s="243">
        <v>8398</v>
      </c>
      <c r="T153" s="243">
        <v>5038.8</v>
      </c>
      <c r="U153" s="263">
        <f t="shared" si="107"/>
        <v>71346.500000000015</v>
      </c>
      <c r="W153" s="264">
        <f t="shared" si="108"/>
        <v>5</v>
      </c>
      <c r="X153" s="264">
        <f t="shared" si="109"/>
        <v>4.25</v>
      </c>
      <c r="Y153" s="264">
        <f t="shared" si="110"/>
        <v>4.25</v>
      </c>
      <c r="Z153" s="264">
        <f t="shared" si="111"/>
        <v>3</v>
      </c>
      <c r="AA153" s="264">
        <f t="shared" si="112"/>
        <v>3</v>
      </c>
      <c r="AB153" s="264">
        <f t="shared" si="113"/>
        <v>3</v>
      </c>
      <c r="AC153" s="264">
        <f t="shared" si="114"/>
        <v>3</v>
      </c>
      <c r="AD153" s="264">
        <f t="shared" si="115"/>
        <v>3</v>
      </c>
      <c r="AE153" s="264">
        <f t="shared" si="116"/>
        <v>3</v>
      </c>
      <c r="AF153" s="264">
        <f t="shared" si="117"/>
        <v>5</v>
      </c>
      <c r="AG153" s="264">
        <f t="shared" si="118"/>
        <v>5</v>
      </c>
      <c r="AH153" s="264">
        <f t="shared" si="119"/>
        <v>3.0000000000000004</v>
      </c>
      <c r="AI153" s="265">
        <f t="shared" si="120"/>
        <v>3.7083333333333335</v>
      </c>
      <c r="AJ153" s="266">
        <f t="shared" si="121"/>
        <v>44.5</v>
      </c>
      <c r="AK153" s="45"/>
      <c r="AL153" s="266"/>
      <c r="AN153" s="241">
        <v>0</v>
      </c>
      <c r="AO153" s="240">
        <f t="shared" si="122"/>
        <v>0</v>
      </c>
      <c r="AP153" s="241">
        <v>1</v>
      </c>
      <c r="AQ153" s="240">
        <f t="shared" si="123"/>
        <v>3.7083333333333335</v>
      </c>
      <c r="AR153" s="241">
        <v>0</v>
      </c>
      <c r="AS153" s="240">
        <f t="shared" si="124"/>
        <v>0</v>
      </c>
      <c r="AT153" s="241">
        <v>0</v>
      </c>
      <c r="AU153" s="240">
        <f t="shared" si="125"/>
        <v>0</v>
      </c>
    </row>
    <row r="154" spans="2:47" s="253" customFormat="1" x14ac:dyDescent="0.2">
      <c r="B154" s="241" t="str">
        <f t="shared" si="126"/>
        <v>VanccommercialVC3Y6W</v>
      </c>
      <c r="C154" s="232" t="s">
        <v>807</v>
      </c>
      <c r="D154" s="232" t="s">
        <v>227</v>
      </c>
      <c r="E154" s="238">
        <v>1886.16</v>
      </c>
      <c r="F154" s="238">
        <v>1886.16</v>
      </c>
      <c r="G154" s="238">
        <v>2015.52</v>
      </c>
      <c r="H154" s="261"/>
      <c r="I154" s="243">
        <v>0</v>
      </c>
      <c r="J154" s="243">
        <v>1414.62</v>
      </c>
      <c r="K154" s="243">
        <v>471.54</v>
      </c>
      <c r="L154" s="243">
        <v>0</v>
      </c>
      <c r="M154" s="243">
        <v>0</v>
      </c>
      <c r="N154" s="243">
        <v>0</v>
      </c>
      <c r="O154" s="243">
        <v>0</v>
      </c>
      <c r="P154" s="243">
        <v>0</v>
      </c>
      <c r="Q154" s="243">
        <v>0</v>
      </c>
      <c r="R154" s="243">
        <v>0</v>
      </c>
      <c r="S154" s="243">
        <v>0</v>
      </c>
      <c r="T154" s="243">
        <v>2015.52</v>
      </c>
      <c r="U154" s="263">
        <f t="shared" si="107"/>
        <v>3901.68</v>
      </c>
      <c r="W154" s="264">
        <f t="shared" si="108"/>
        <v>0</v>
      </c>
      <c r="X154" s="264">
        <f t="shared" si="109"/>
        <v>0.74999999999999989</v>
      </c>
      <c r="Y154" s="264">
        <f t="shared" si="110"/>
        <v>0.25</v>
      </c>
      <c r="Z154" s="264">
        <f t="shared" si="111"/>
        <v>0</v>
      </c>
      <c r="AA154" s="264">
        <f t="shared" si="112"/>
        <v>0</v>
      </c>
      <c r="AB154" s="264">
        <f t="shared" si="113"/>
        <v>0</v>
      </c>
      <c r="AC154" s="264">
        <f t="shared" si="114"/>
        <v>0</v>
      </c>
      <c r="AD154" s="264">
        <f t="shared" si="115"/>
        <v>0</v>
      </c>
      <c r="AE154" s="264">
        <f t="shared" si="116"/>
        <v>0</v>
      </c>
      <c r="AF154" s="264">
        <f t="shared" si="117"/>
        <v>0</v>
      </c>
      <c r="AG154" s="264">
        <f t="shared" si="118"/>
        <v>0</v>
      </c>
      <c r="AH154" s="264">
        <f t="shared" si="119"/>
        <v>1</v>
      </c>
      <c r="AI154" s="265">
        <f t="shared" si="120"/>
        <v>0.16666666666666666</v>
      </c>
      <c r="AJ154" s="266">
        <f t="shared" si="121"/>
        <v>2</v>
      </c>
      <c r="AK154" s="45"/>
      <c r="AL154" s="266"/>
      <c r="AN154" s="241">
        <v>0</v>
      </c>
      <c r="AO154" s="240">
        <f t="shared" si="122"/>
        <v>0</v>
      </c>
      <c r="AP154" s="241">
        <v>1</v>
      </c>
      <c r="AQ154" s="240">
        <f t="shared" si="123"/>
        <v>0.16666666666666666</v>
      </c>
      <c r="AR154" s="241">
        <v>0</v>
      </c>
      <c r="AS154" s="240">
        <f t="shared" si="124"/>
        <v>0</v>
      </c>
      <c r="AT154" s="241">
        <v>0</v>
      </c>
      <c r="AU154" s="240">
        <f t="shared" si="125"/>
        <v>0</v>
      </c>
    </row>
    <row r="155" spans="2:47" s="253" customFormat="1" x14ac:dyDescent="0.2">
      <c r="B155" s="241" t="str">
        <f>"Vanc"&amp;"commercial"&amp;C155</f>
        <v>VanccommercialVC3Y7W</v>
      </c>
      <c r="C155" s="232" t="s">
        <v>1095</v>
      </c>
      <c r="D155" s="232" t="s">
        <v>1058</v>
      </c>
      <c r="E155" s="238">
        <v>2200.52</v>
      </c>
      <c r="F155" s="238">
        <v>2200.52</v>
      </c>
      <c r="G155" s="238">
        <v>2351.44</v>
      </c>
      <c r="H155" s="261"/>
      <c r="I155" s="243">
        <v>2200.52</v>
      </c>
      <c r="J155" s="243">
        <v>2200.52</v>
      </c>
      <c r="K155" s="243">
        <v>3300.78</v>
      </c>
      <c r="L155" s="243">
        <v>4401.04</v>
      </c>
      <c r="M155" s="243">
        <v>4401.04</v>
      </c>
      <c r="N155" s="243">
        <v>4401.04</v>
      </c>
      <c r="O155" s="243">
        <v>4401.04</v>
      </c>
      <c r="P155" s="243">
        <v>4401.04</v>
      </c>
      <c r="Q155" s="243">
        <v>4401.04</v>
      </c>
      <c r="R155" s="243">
        <v>4702.88</v>
      </c>
      <c r="S155" s="243">
        <v>4702.88</v>
      </c>
      <c r="T155" s="243">
        <v>2939.3</v>
      </c>
      <c r="U155" s="263">
        <f t="shared" si="107"/>
        <v>46453.120000000003</v>
      </c>
      <c r="W155" s="264">
        <f t="shared" si="108"/>
        <v>1</v>
      </c>
      <c r="X155" s="264">
        <f t="shared" si="109"/>
        <v>1</v>
      </c>
      <c r="Y155" s="264">
        <f t="shared" si="110"/>
        <v>1.5</v>
      </c>
      <c r="Z155" s="264">
        <f t="shared" si="111"/>
        <v>2</v>
      </c>
      <c r="AA155" s="264">
        <f t="shared" si="112"/>
        <v>2</v>
      </c>
      <c r="AB155" s="264">
        <f t="shared" si="113"/>
        <v>2</v>
      </c>
      <c r="AC155" s="264">
        <f t="shared" si="114"/>
        <v>2</v>
      </c>
      <c r="AD155" s="264">
        <f t="shared" si="115"/>
        <v>2</v>
      </c>
      <c r="AE155" s="264">
        <f t="shared" si="116"/>
        <v>2</v>
      </c>
      <c r="AF155" s="264">
        <f t="shared" si="117"/>
        <v>2</v>
      </c>
      <c r="AG155" s="264">
        <f t="shared" si="118"/>
        <v>2</v>
      </c>
      <c r="AH155" s="264">
        <f t="shared" si="119"/>
        <v>1.25</v>
      </c>
      <c r="AI155" s="265">
        <f t="shared" si="120"/>
        <v>1.7291666666666667</v>
      </c>
      <c r="AJ155" s="266">
        <f t="shared" si="121"/>
        <v>20.75</v>
      </c>
      <c r="AK155" s="45"/>
      <c r="AL155" s="266"/>
      <c r="AN155" s="241">
        <v>0</v>
      </c>
      <c r="AO155" s="240">
        <f t="shared" si="122"/>
        <v>0</v>
      </c>
      <c r="AP155" s="241">
        <v>1</v>
      </c>
      <c r="AQ155" s="240">
        <f t="shared" si="123"/>
        <v>1.7291666666666667</v>
      </c>
      <c r="AR155" s="241">
        <v>0</v>
      </c>
      <c r="AS155" s="240">
        <f t="shared" si="124"/>
        <v>0</v>
      </c>
      <c r="AT155" s="241">
        <v>0</v>
      </c>
      <c r="AU155" s="240">
        <f t="shared" si="125"/>
        <v>0</v>
      </c>
    </row>
    <row r="156" spans="2:47" s="253" customFormat="1" x14ac:dyDescent="0.2">
      <c r="B156" s="241" t="str">
        <f t="shared" si="126"/>
        <v>VanccommercialVRABIN</v>
      </c>
      <c r="C156" s="232" t="s">
        <v>808</v>
      </c>
      <c r="D156" s="232" t="s">
        <v>856</v>
      </c>
      <c r="E156" s="238">
        <v>199.24</v>
      </c>
      <c r="F156" s="238">
        <v>199.24</v>
      </c>
      <c r="G156" s="238">
        <v>212.91</v>
      </c>
      <c r="H156" s="261"/>
      <c r="I156" s="243">
        <v>597.72</v>
      </c>
      <c r="J156" s="243">
        <v>1793.16</v>
      </c>
      <c r="K156" s="243">
        <v>781.35</v>
      </c>
      <c r="L156" s="243">
        <v>1394.68</v>
      </c>
      <c r="M156" s="243">
        <v>1195.44</v>
      </c>
      <c r="N156" s="243">
        <v>1195.44</v>
      </c>
      <c r="O156" s="243">
        <v>1195.44</v>
      </c>
      <c r="P156" s="243">
        <v>1793.16</v>
      </c>
      <c r="Q156" s="243">
        <v>597.72</v>
      </c>
      <c r="R156" s="243">
        <v>0</v>
      </c>
      <c r="S156" s="243">
        <v>425.82</v>
      </c>
      <c r="T156" s="243">
        <v>1490.37</v>
      </c>
      <c r="U156" s="263">
        <f t="shared" si="107"/>
        <v>12460.3</v>
      </c>
      <c r="W156" s="264">
        <f t="shared" si="108"/>
        <v>3</v>
      </c>
      <c r="X156" s="264">
        <f t="shared" si="109"/>
        <v>9</v>
      </c>
      <c r="Y156" s="264">
        <f t="shared" si="110"/>
        <v>3.9216522786589039</v>
      </c>
      <c r="Z156" s="264">
        <f t="shared" si="111"/>
        <v>7</v>
      </c>
      <c r="AA156" s="264">
        <f t="shared" si="112"/>
        <v>6</v>
      </c>
      <c r="AB156" s="264">
        <f t="shared" si="113"/>
        <v>6</v>
      </c>
      <c r="AC156" s="264">
        <f t="shared" si="114"/>
        <v>6</v>
      </c>
      <c r="AD156" s="264">
        <f t="shared" si="115"/>
        <v>9</v>
      </c>
      <c r="AE156" s="264">
        <f t="shared" si="116"/>
        <v>3</v>
      </c>
      <c r="AF156" s="264">
        <f t="shared" si="117"/>
        <v>0</v>
      </c>
      <c r="AG156" s="264">
        <f t="shared" si="118"/>
        <v>2</v>
      </c>
      <c r="AH156" s="264">
        <f t="shared" si="119"/>
        <v>7</v>
      </c>
      <c r="AI156" s="265">
        <f t="shared" si="120"/>
        <v>5.1601376898882423</v>
      </c>
      <c r="AJ156" s="266">
        <f t="shared" si="121"/>
        <v>61.921652278658904</v>
      </c>
      <c r="AK156" s="45"/>
      <c r="AL156" s="266"/>
      <c r="AN156" s="241">
        <v>0</v>
      </c>
      <c r="AO156" s="240">
        <f t="shared" si="122"/>
        <v>0</v>
      </c>
      <c r="AP156" s="241">
        <v>1</v>
      </c>
      <c r="AQ156" s="240">
        <f t="shared" si="123"/>
        <v>5.1601376898882423</v>
      </c>
      <c r="AR156" s="241">
        <v>0</v>
      </c>
      <c r="AS156" s="240">
        <f t="shared" si="124"/>
        <v>0</v>
      </c>
      <c r="AT156" s="241">
        <v>0</v>
      </c>
      <c r="AU156" s="240">
        <f t="shared" si="125"/>
        <v>0</v>
      </c>
    </row>
    <row r="157" spans="2:47" s="253" customFormat="1" x14ac:dyDescent="0.2">
      <c r="B157" s="241" t="str">
        <f>"Vanc"&amp;"commercial"&amp;C157</f>
        <v>VanccommercialCC4Y1W</v>
      </c>
      <c r="C157" s="232" t="s">
        <v>129</v>
      </c>
      <c r="D157" s="232" t="s">
        <v>229</v>
      </c>
      <c r="E157" s="238">
        <v>392.95</v>
      </c>
      <c r="F157" s="238">
        <v>392.95</v>
      </c>
      <c r="G157" s="238">
        <v>0</v>
      </c>
      <c r="H157" s="261"/>
      <c r="I157" s="243">
        <v>55.72</v>
      </c>
      <c r="J157" s="243">
        <v>-55.72</v>
      </c>
      <c r="K157" s="243">
        <v>0</v>
      </c>
      <c r="L157" s="243">
        <v>0</v>
      </c>
      <c r="M157" s="243">
        <v>0</v>
      </c>
      <c r="N157" s="243">
        <v>0</v>
      </c>
      <c r="O157" s="243">
        <v>0</v>
      </c>
      <c r="P157" s="243">
        <v>0</v>
      </c>
      <c r="Q157" s="243">
        <v>0</v>
      </c>
      <c r="R157" s="243">
        <v>0</v>
      </c>
      <c r="S157" s="243">
        <v>0</v>
      </c>
      <c r="T157" s="243">
        <v>0</v>
      </c>
      <c r="U157" s="263">
        <f>SUM(I157:T157)</f>
        <v>0</v>
      </c>
      <c r="W157" s="264">
        <f t="shared" si="108"/>
        <v>0.14179921109555924</v>
      </c>
      <c r="X157" s="264">
        <f t="shared" si="109"/>
        <v>-0.14179921109555924</v>
      </c>
      <c r="Y157" s="264">
        <f t="shared" si="110"/>
        <v>0</v>
      </c>
      <c r="Z157" s="264">
        <f t="shared" si="111"/>
        <v>0</v>
      </c>
      <c r="AA157" s="264">
        <f t="shared" si="112"/>
        <v>0</v>
      </c>
      <c r="AB157" s="264">
        <f t="shared" si="113"/>
        <v>0</v>
      </c>
      <c r="AC157" s="264">
        <f t="shared" si="114"/>
        <v>0</v>
      </c>
      <c r="AD157" s="264">
        <f t="shared" si="115"/>
        <v>0</v>
      </c>
      <c r="AE157" s="264">
        <f t="shared" si="116"/>
        <v>0</v>
      </c>
      <c r="AF157" s="264">
        <f t="shared" si="117"/>
        <v>0</v>
      </c>
      <c r="AG157" s="264">
        <f t="shared" si="118"/>
        <v>0</v>
      </c>
      <c r="AH157" s="264">
        <f t="shared" si="119"/>
        <v>0</v>
      </c>
      <c r="AI157" s="265">
        <f>+IFERROR(AVERAGE(W157:AH157),0)</f>
        <v>0</v>
      </c>
      <c r="AJ157" s="266">
        <f>SUM(W157:AH157)</f>
        <v>0</v>
      </c>
      <c r="AK157" s="45"/>
      <c r="AL157" s="266"/>
      <c r="AN157" s="241">
        <v>0</v>
      </c>
      <c r="AO157" s="240">
        <f t="shared" si="122"/>
        <v>0</v>
      </c>
      <c r="AP157" s="241">
        <v>1</v>
      </c>
      <c r="AQ157" s="240">
        <f t="shared" si="123"/>
        <v>0</v>
      </c>
      <c r="AR157" s="241">
        <v>0</v>
      </c>
      <c r="AS157" s="240">
        <f t="shared" si="124"/>
        <v>0</v>
      </c>
      <c r="AT157" s="241">
        <v>0</v>
      </c>
      <c r="AU157" s="240">
        <f>+$AI157*AT157</f>
        <v>0</v>
      </c>
    </row>
    <row r="158" spans="2:47" s="253" customFormat="1" x14ac:dyDescent="0.2">
      <c r="B158" s="241" t="str">
        <f t="shared" si="126"/>
        <v>VanccommercialVC4Y1W</v>
      </c>
      <c r="C158" s="232" t="s">
        <v>809</v>
      </c>
      <c r="D158" s="232" t="s">
        <v>229</v>
      </c>
      <c r="E158" s="238">
        <v>392.95</v>
      </c>
      <c r="F158" s="238">
        <v>392.95</v>
      </c>
      <c r="G158" s="238">
        <v>419.9</v>
      </c>
      <c r="H158" s="261"/>
      <c r="I158" s="243">
        <v>121725.69</v>
      </c>
      <c r="J158" s="243">
        <v>125252.77</v>
      </c>
      <c r="K158" s="243">
        <v>123189.81</v>
      </c>
      <c r="L158" s="243">
        <v>122747.71</v>
      </c>
      <c r="M158" s="243">
        <v>124270.43</v>
      </c>
      <c r="N158" s="243">
        <v>122895.11</v>
      </c>
      <c r="O158" s="243">
        <v>122109.23</v>
      </c>
      <c r="P158" s="243">
        <v>122796.89</v>
      </c>
      <c r="Q158" s="243">
        <v>122109.23</v>
      </c>
      <c r="R158" s="243">
        <v>131926.63</v>
      </c>
      <c r="S158" s="243">
        <v>133318.26999999999</v>
      </c>
      <c r="T158" s="243">
        <v>133843.15</v>
      </c>
      <c r="U158" s="263">
        <f t="shared" si="107"/>
        <v>1506184.92</v>
      </c>
      <c r="W158" s="264">
        <f t="shared" si="108"/>
        <v>309.77399160198502</v>
      </c>
      <c r="X158" s="264">
        <f t="shared" si="109"/>
        <v>318.74989184374607</v>
      </c>
      <c r="Y158" s="264">
        <f t="shared" si="110"/>
        <v>313.49996182720446</v>
      </c>
      <c r="Z158" s="264">
        <f t="shared" si="111"/>
        <v>312.37488230054714</v>
      </c>
      <c r="AA158" s="264">
        <f t="shared" si="112"/>
        <v>316.24998091360226</v>
      </c>
      <c r="AB158" s="264">
        <f t="shared" si="113"/>
        <v>312.74999363786742</v>
      </c>
      <c r="AC158" s="264">
        <f t="shared" si="114"/>
        <v>310.75004453492812</v>
      </c>
      <c r="AD158" s="264">
        <f t="shared" si="115"/>
        <v>312.50003817279554</v>
      </c>
      <c r="AE158" s="264">
        <f t="shared" si="116"/>
        <v>310.75004453492812</v>
      </c>
      <c r="AF158" s="264">
        <f t="shared" si="117"/>
        <v>314.18582995951419</v>
      </c>
      <c r="AG158" s="264">
        <f t="shared" si="118"/>
        <v>317.50004763038817</v>
      </c>
      <c r="AH158" s="264">
        <f t="shared" si="119"/>
        <v>318.75005953798524</v>
      </c>
      <c r="AI158" s="265">
        <f t="shared" si="120"/>
        <v>313.98623054129098</v>
      </c>
      <c r="AJ158" s="266">
        <f t="shared" si="121"/>
        <v>3767.8347664954917</v>
      </c>
      <c r="AK158" s="45"/>
      <c r="AL158" s="266"/>
      <c r="AN158" s="241">
        <v>0</v>
      </c>
      <c r="AO158" s="240">
        <f t="shared" ref="AO158:AO189" si="127">+$AI158*AN158</f>
        <v>0</v>
      </c>
      <c r="AP158" s="241">
        <v>1</v>
      </c>
      <c r="AQ158" s="240">
        <f t="shared" ref="AQ158:AQ189" si="128">+$AI158*AP158</f>
        <v>313.98623054129098</v>
      </c>
      <c r="AR158" s="241">
        <v>0</v>
      </c>
      <c r="AS158" s="240">
        <f t="shared" ref="AS158:AS189" si="129">+$AI158*AR158</f>
        <v>0</v>
      </c>
      <c r="AT158" s="241">
        <v>0</v>
      </c>
      <c r="AU158" s="240">
        <f t="shared" si="125"/>
        <v>0</v>
      </c>
    </row>
    <row r="159" spans="2:47" s="253" customFormat="1" x14ac:dyDescent="0.2">
      <c r="B159" s="241" t="str">
        <f>"Vanc"&amp;"commercial"&amp;C159</f>
        <v>VanccommercialRC4Y1W</v>
      </c>
      <c r="C159" s="232" t="s">
        <v>691</v>
      </c>
      <c r="D159" s="232" t="s">
        <v>229</v>
      </c>
      <c r="E159" s="238">
        <v>120.97</v>
      </c>
      <c r="F159" s="238">
        <v>120.97</v>
      </c>
      <c r="G159" s="238">
        <v>127.35</v>
      </c>
      <c r="H159" s="261"/>
      <c r="I159" s="243">
        <v>846.79</v>
      </c>
      <c r="J159" s="243">
        <v>846.79</v>
      </c>
      <c r="K159" s="243">
        <v>846.79</v>
      </c>
      <c r="L159" s="243">
        <v>846.79</v>
      </c>
      <c r="M159" s="243">
        <v>846.79</v>
      </c>
      <c r="N159" s="243">
        <v>846.79</v>
      </c>
      <c r="O159" s="243">
        <v>846.79</v>
      </c>
      <c r="P159" s="243">
        <v>756.06</v>
      </c>
      <c r="Q159" s="243">
        <v>725.82</v>
      </c>
      <c r="R159" s="243">
        <v>764.1</v>
      </c>
      <c r="S159" s="243">
        <v>668.58</v>
      </c>
      <c r="T159" s="243">
        <v>573.07000000000005</v>
      </c>
      <c r="U159" s="263">
        <f t="shared" si="107"/>
        <v>9415.16</v>
      </c>
      <c r="W159" s="264">
        <f t="shared" si="108"/>
        <v>7</v>
      </c>
      <c r="X159" s="264">
        <f t="shared" si="109"/>
        <v>7</v>
      </c>
      <c r="Y159" s="264">
        <f t="shared" si="110"/>
        <v>7</v>
      </c>
      <c r="Z159" s="264">
        <f t="shared" si="111"/>
        <v>7</v>
      </c>
      <c r="AA159" s="264">
        <f t="shared" si="112"/>
        <v>7</v>
      </c>
      <c r="AB159" s="264">
        <f t="shared" si="113"/>
        <v>7</v>
      </c>
      <c r="AC159" s="264">
        <f t="shared" si="114"/>
        <v>7</v>
      </c>
      <c r="AD159" s="264">
        <f t="shared" si="115"/>
        <v>6.2499793337191036</v>
      </c>
      <c r="AE159" s="264">
        <f t="shared" si="116"/>
        <v>6.0000000000000009</v>
      </c>
      <c r="AF159" s="264">
        <f t="shared" si="117"/>
        <v>6.0000000000000009</v>
      </c>
      <c r="AG159" s="264">
        <f t="shared" si="118"/>
        <v>5.2499411071849238</v>
      </c>
      <c r="AH159" s="264">
        <f t="shared" si="119"/>
        <v>4.4999607381232831</v>
      </c>
      <c r="AI159" s="265">
        <f t="shared" si="120"/>
        <v>6.416656764918943</v>
      </c>
      <c r="AJ159" s="266">
        <f t="shared" si="121"/>
        <v>76.999881179027312</v>
      </c>
      <c r="AK159" s="45"/>
      <c r="AL159" s="266"/>
      <c r="AN159" s="241">
        <v>0</v>
      </c>
      <c r="AO159" s="240">
        <f t="shared" si="127"/>
        <v>0</v>
      </c>
      <c r="AP159" s="241">
        <v>1</v>
      </c>
      <c r="AQ159" s="240">
        <f t="shared" si="128"/>
        <v>6.416656764918943</v>
      </c>
      <c r="AR159" s="241">
        <v>0</v>
      </c>
      <c r="AS159" s="240">
        <f t="shared" si="129"/>
        <v>0</v>
      </c>
      <c r="AT159" s="241">
        <v>0</v>
      </c>
      <c r="AU159" s="240">
        <f t="shared" si="125"/>
        <v>0</v>
      </c>
    </row>
    <row r="160" spans="2:47" s="253" customFormat="1" x14ac:dyDescent="0.2">
      <c r="B160" s="241" t="str">
        <f t="shared" si="126"/>
        <v>VanccommercialVC4Y2W</v>
      </c>
      <c r="C160" s="232" t="s">
        <v>810</v>
      </c>
      <c r="D160" s="232" t="s">
        <v>230</v>
      </c>
      <c r="E160" s="238">
        <v>785.9</v>
      </c>
      <c r="F160" s="238">
        <v>785.9</v>
      </c>
      <c r="G160" s="238">
        <v>839.8</v>
      </c>
      <c r="H160" s="261"/>
      <c r="I160" s="243">
        <v>193558.64</v>
      </c>
      <c r="J160" s="243">
        <v>199520.32</v>
      </c>
      <c r="K160" s="243">
        <v>203941.03</v>
      </c>
      <c r="L160" s="243">
        <v>204825.14</v>
      </c>
      <c r="M160" s="243">
        <v>206102.26</v>
      </c>
      <c r="N160" s="243">
        <v>209638.83</v>
      </c>
      <c r="O160" s="243">
        <v>208754.72</v>
      </c>
      <c r="P160" s="243">
        <v>210326.5</v>
      </c>
      <c r="Q160" s="243">
        <v>212585.95</v>
      </c>
      <c r="R160" s="243">
        <v>226746</v>
      </c>
      <c r="S160" s="243">
        <v>232414.71</v>
      </c>
      <c r="T160" s="243">
        <v>234304.2</v>
      </c>
      <c r="U160" s="263">
        <f t="shared" si="107"/>
        <v>2542718.3000000003</v>
      </c>
      <c r="W160" s="264">
        <f t="shared" si="108"/>
        <v>246.28914620180686</v>
      </c>
      <c r="X160" s="264">
        <f t="shared" si="109"/>
        <v>253.87494592187304</v>
      </c>
      <c r="Y160" s="264">
        <f t="shared" si="110"/>
        <v>259.49997455146968</v>
      </c>
      <c r="Z160" s="264">
        <f t="shared" si="111"/>
        <v>260.62493955974043</v>
      </c>
      <c r="AA160" s="264">
        <f t="shared" si="112"/>
        <v>262.24998091360226</v>
      </c>
      <c r="AB160" s="264">
        <f t="shared" si="113"/>
        <v>266.75000636213258</v>
      </c>
      <c r="AC160" s="264">
        <f t="shared" si="114"/>
        <v>265.62504135386183</v>
      </c>
      <c r="AD160" s="264">
        <f t="shared" si="115"/>
        <v>267.62501590533145</v>
      </c>
      <c r="AE160" s="264">
        <f t="shared" si="116"/>
        <v>270.5</v>
      </c>
      <c r="AF160" s="264">
        <f t="shared" si="117"/>
        <v>270</v>
      </c>
      <c r="AG160" s="264">
        <f t="shared" si="118"/>
        <v>276.75007144558231</v>
      </c>
      <c r="AH160" s="264">
        <f t="shared" si="119"/>
        <v>279.00000000000006</v>
      </c>
      <c r="AI160" s="265">
        <f t="shared" si="120"/>
        <v>264.89909351795001</v>
      </c>
      <c r="AJ160" s="266">
        <f t="shared" si="121"/>
        <v>3178.7891222154003</v>
      </c>
      <c r="AK160" s="45"/>
      <c r="AL160" s="266"/>
      <c r="AN160" s="241">
        <v>0</v>
      </c>
      <c r="AO160" s="240">
        <f t="shared" si="127"/>
        <v>0</v>
      </c>
      <c r="AP160" s="241">
        <v>1</v>
      </c>
      <c r="AQ160" s="240">
        <f t="shared" si="128"/>
        <v>264.89909351795001</v>
      </c>
      <c r="AR160" s="241">
        <v>0</v>
      </c>
      <c r="AS160" s="240">
        <f t="shared" si="129"/>
        <v>0</v>
      </c>
      <c r="AT160" s="241">
        <v>0</v>
      </c>
      <c r="AU160" s="240">
        <f t="shared" si="125"/>
        <v>0</v>
      </c>
    </row>
    <row r="161" spans="2:47" s="253" customFormat="1" x14ac:dyDescent="0.2">
      <c r="B161" s="241" t="str">
        <f t="shared" si="126"/>
        <v>VanccommercialRC4Y2W</v>
      </c>
      <c r="C161" s="232" t="s">
        <v>1034</v>
      </c>
      <c r="D161" s="232" t="s">
        <v>230</v>
      </c>
      <c r="E161" s="238">
        <v>241.95</v>
      </c>
      <c r="F161" s="238">
        <v>241.95</v>
      </c>
      <c r="G161" s="238">
        <v>254.71</v>
      </c>
      <c r="H161" s="261"/>
      <c r="I161" s="243">
        <v>0</v>
      </c>
      <c r="J161" s="243">
        <v>211.7</v>
      </c>
      <c r="K161" s="243">
        <v>241.95</v>
      </c>
      <c r="L161" s="243">
        <v>241.95</v>
      </c>
      <c r="M161" s="243">
        <v>241.95</v>
      </c>
      <c r="N161" s="243">
        <v>241.95</v>
      </c>
      <c r="O161" s="243">
        <v>241.95</v>
      </c>
      <c r="P161" s="243">
        <v>30.24</v>
      </c>
      <c r="Q161" s="243">
        <v>0</v>
      </c>
      <c r="R161" s="243">
        <v>0</v>
      </c>
      <c r="S161" s="243">
        <v>191.04</v>
      </c>
      <c r="T161" s="243">
        <v>764.13</v>
      </c>
      <c r="U161" s="263">
        <f t="shared" si="107"/>
        <v>2406.86</v>
      </c>
      <c r="W161" s="264">
        <f t="shared" si="108"/>
        <v>0</v>
      </c>
      <c r="X161" s="264">
        <f t="shared" si="109"/>
        <v>0.8749741682165737</v>
      </c>
      <c r="Y161" s="264">
        <f t="shared" si="110"/>
        <v>1</v>
      </c>
      <c r="Z161" s="264">
        <f t="shared" si="111"/>
        <v>1</v>
      </c>
      <c r="AA161" s="264">
        <f t="shared" si="112"/>
        <v>1</v>
      </c>
      <c r="AB161" s="264">
        <f t="shared" si="113"/>
        <v>1</v>
      </c>
      <c r="AC161" s="264">
        <f t="shared" si="114"/>
        <v>1</v>
      </c>
      <c r="AD161" s="264">
        <f t="shared" si="115"/>
        <v>0.1249845009299442</v>
      </c>
      <c r="AE161" s="264">
        <f t="shared" si="116"/>
        <v>0</v>
      </c>
      <c r="AF161" s="264">
        <f t="shared" si="117"/>
        <v>0</v>
      </c>
      <c r="AG161" s="264">
        <f t="shared" si="118"/>
        <v>0.75002944525146242</v>
      </c>
      <c r="AH161" s="264">
        <f t="shared" si="119"/>
        <v>3</v>
      </c>
      <c r="AI161" s="265">
        <f t="shared" si="120"/>
        <v>0.81249900953316512</v>
      </c>
      <c r="AJ161" s="266">
        <f t="shared" si="121"/>
        <v>9.749988114397981</v>
      </c>
      <c r="AK161" s="45"/>
      <c r="AL161" s="266"/>
      <c r="AN161" s="241">
        <v>0</v>
      </c>
      <c r="AO161" s="240">
        <f t="shared" si="127"/>
        <v>0</v>
      </c>
      <c r="AP161" s="241">
        <v>1</v>
      </c>
      <c r="AQ161" s="240">
        <f t="shared" si="128"/>
        <v>0.81249900953316512</v>
      </c>
      <c r="AR161" s="241">
        <v>0</v>
      </c>
      <c r="AS161" s="240">
        <f t="shared" si="129"/>
        <v>0</v>
      </c>
      <c r="AT161" s="241">
        <v>0</v>
      </c>
      <c r="AU161" s="240">
        <f t="shared" si="125"/>
        <v>0</v>
      </c>
    </row>
    <row r="162" spans="2:47" s="253" customFormat="1" x14ac:dyDescent="0.2">
      <c r="B162" s="241" t="str">
        <f t="shared" si="126"/>
        <v>VanccommercialVC4Y3W</v>
      </c>
      <c r="C162" s="232" t="s">
        <v>811</v>
      </c>
      <c r="D162" s="232" t="s">
        <v>231</v>
      </c>
      <c r="E162" s="238">
        <v>1178.8499999999999</v>
      </c>
      <c r="F162" s="238">
        <v>1178.8499999999999</v>
      </c>
      <c r="G162" s="238">
        <v>1259.7</v>
      </c>
      <c r="H162" s="261"/>
      <c r="I162" s="243">
        <v>91655.57</v>
      </c>
      <c r="J162" s="243">
        <v>89494.38</v>
      </c>
      <c r="K162" s="243">
        <v>88413.759999999995</v>
      </c>
      <c r="L162" s="243">
        <v>88413.759999999995</v>
      </c>
      <c r="M162" s="243">
        <v>92245.02</v>
      </c>
      <c r="N162" s="243">
        <v>92245.02</v>
      </c>
      <c r="O162" s="243">
        <v>93030.92</v>
      </c>
      <c r="P162" s="243">
        <v>97255.14</v>
      </c>
      <c r="Q162" s="243">
        <v>96960.42</v>
      </c>
      <c r="R162" s="243">
        <v>103295.4</v>
      </c>
      <c r="S162" s="243">
        <v>103190.43</v>
      </c>
      <c r="T162" s="243">
        <v>106234.7</v>
      </c>
      <c r="U162" s="263">
        <f t="shared" si="107"/>
        <v>1142434.52</v>
      </c>
      <c r="W162" s="264">
        <f t="shared" si="108"/>
        <v>77.749985155023978</v>
      </c>
      <c r="X162" s="264">
        <f t="shared" si="109"/>
        <v>75.916681511642707</v>
      </c>
      <c r="Y162" s="264">
        <f t="shared" si="110"/>
        <v>75.000008482843455</v>
      </c>
      <c r="Z162" s="264">
        <f t="shared" si="111"/>
        <v>75.000008482843455</v>
      </c>
      <c r="AA162" s="264">
        <f t="shared" si="112"/>
        <v>78.250006362132595</v>
      </c>
      <c r="AB162" s="264">
        <f t="shared" si="113"/>
        <v>78.250006362132595</v>
      </c>
      <c r="AC162" s="264">
        <f t="shared" si="114"/>
        <v>78.916673028799252</v>
      </c>
      <c r="AD162" s="264">
        <f t="shared" si="115"/>
        <v>82.500012724265176</v>
      </c>
      <c r="AE162" s="264">
        <f t="shared" si="116"/>
        <v>82.250006362132595</v>
      </c>
      <c r="AF162" s="264">
        <f t="shared" si="117"/>
        <v>81.999999999999986</v>
      </c>
      <c r="AG162" s="264">
        <f t="shared" si="118"/>
        <v>81.916670635865671</v>
      </c>
      <c r="AH162" s="264">
        <f t="shared" si="119"/>
        <v>84.333333333333329</v>
      </c>
      <c r="AI162" s="265">
        <f t="shared" si="120"/>
        <v>79.340282703417898</v>
      </c>
      <c r="AJ162" s="266">
        <f t="shared" si="121"/>
        <v>952.08339244101478</v>
      </c>
      <c r="AK162" s="45"/>
      <c r="AL162" s="266"/>
      <c r="AN162" s="241">
        <v>0</v>
      </c>
      <c r="AO162" s="240">
        <f t="shared" si="127"/>
        <v>0</v>
      </c>
      <c r="AP162" s="241">
        <v>1</v>
      </c>
      <c r="AQ162" s="240">
        <f t="shared" si="128"/>
        <v>79.340282703417898</v>
      </c>
      <c r="AR162" s="241">
        <v>0</v>
      </c>
      <c r="AS162" s="240">
        <f t="shared" si="129"/>
        <v>0</v>
      </c>
      <c r="AT162" s="241">
        <v>0</v>
      </c>
      <c r="AU162" s="240">
        <f t="shared" si="125"/>
        <v>0</v>
      </c>
    </row>
    <row r="163" spans="2:47" s="253" customFormat="1" x14ac:dyDescent="0.2">
      <c r="B163" s="241" t="str">
        <f t="shared" si="126"/>
        <v>VanccommercialVC4Y4W</v>
      </c>
      <c r="C163" s="232" t="s">
        <v>812</v>
      </c>
      <c r="D163" s="232" t="s">
        <v>232</v>
      </c>
      <c r="E163" s="238">
        <v>1571.8</v>
      </c>
      <c r="F163" s="238">
        <v>1571.8</v>
      </c>
      <c r="G163" s="238">
        <v>1679.6</v>
      </c>
      <c r="H163" s="261"/>
      <c r="I163" s="243">
        <v>34874.31</v>
      </c>
      <c r="J163" s="243">
        <v>36151.4</v>
      </c>
      <c r="K163" s="243">
        <v>35660.21</v>
      </c>
      <c r="L163" s="243">
        <v>36151.4</v>
      </c>
      <c r="M163" s="243">
        <v>37035.53</v>
      </c>
      <c r="N163" s="243">
        <v>39295</v>
      </c>
      <c r="O163" s="243">
        <v>38902.050000000003</v>
      </c>
      <c r="P163" s="243">
        <v>37035.54</v>
      </c>
      <c r="Q163" s="243">
        <v>31828.95</v>
      </c>
      <c r="R163" s="243">
        <v>33277.08</v>
      </c>
      <c r="S163" s="243">
        <v>33592</v>
      </c>
      <c r="T163" s="243">
        <v>32437.279999999999</v>
      </c>
      <c r="U163" s="263">
        <f t="shared" si="107"/>
        <v>426240.75</v>
      </c>
      <c r="W163" s="264">
        <f t="shared" si="108"/>
        <v>22.187498409466851</v>
      </c>
      <c r="X163" s="264">
        <f t="shared" si="109"/>
        <v>23</v>
      </c>
      <c r="Y163" s="264">
        <f t="shared" si="110"/>
        <v>22.687498409466855</v>
      </c>
      <c r="Z163" s="264">
        <f t="shared" si="111"/>
        <v>23</v>
      </c>
      <c r="AA163" s="264">
        <f t="shared" si="112"/>
        <v>23.562495228400561</v>
      </c>
      <c r="AB163" s="264">
        <f t="shared" si="113"/>
        <v>25</v>
      </c>
      <c r="AC163" s="264">
        <f t="shared" si="114"/>
        <v>24.750000000000004</v>
      </c>
      <c r="AD163" s="264">
        <f t="shared" si="115"/>
        <v>23.562501590533149</v>
      </c>
      <c r="AE163" s="264">
        <f t="shared" si="116"/>
        <v>20.25</v>
      </c>
      <c r="AF163" s="264">
        <f t="shared" si="117"/>
        <v>19.812502976899264</v>
      </c>
      <c r="AG163" s="264">
        <f t="shared" si="118"/>
        <v>20</v>
      </c>
      <c r="AH163" s="264">
        <f t="shared" si="119"/>
        <v>19.31250297689926</v>
      </c>
      <c r="AI163" s="265">
        <f t="shared" si="120"/>
        <v>22.260416632638826</v>
      </c>
      <c r="AJ163" s="266">
        <f t="shared" si="121"/>
        <v>267.12499959166593</v>
      </c>
      <c r="AK163" s="45"/>
      <c r="AL163" s="266"/>
      <c r="AN163" s="241">
        <v>0</v>
      </c>
      <c r="AO163" s="240">
        <f t="shared" si="127"/>
        <v>0</v>
      </c>
      <c r="AP163" s="241">
        <v>1</v>
      </c>
      <c r="AQ163" s="240">
        <f t="shared" si="128"/>
        <v>22.260416632638826</v>
      </c>
      <c r="AR163" s="241">
        <v>0</v>
      </c>
      <c r="AS163" s="240">
        <f t="shared" si="129"/>
        <v>0</v>
      </c>
      <c r="AT163" s="241">
        <v>0</v>
      </c>
      <c r="AU163" s="240">
        <f t="shared" si="125"/>
        <v>0</v>
      </c>
    </row>
    <row r="164" spans="2:47" s="253" customFormat="1" x14ac:dyDescent="0.2">
      <c r="B164" s="241" t="str">
        <f t="shared" si="126"/>
        <v>VanccommercialVC4Y5W</v>
      </c>
      <c r="C164" s="232" t="s">
        <v>813</v>
      </c>
      <c r="D164" s="232" t="s">
        <v>233</v>
      </c>
      <c r="E164" s="238">
        <v>1964.75</v>
      </c>
      <c r="F164" s="238">
        <v>1964.75</v>
      </c>
      <c r="G164" s="238">
        <v>2099.5</v>
      </c>
      <c r="H164" s="261"/>
      <c r="I164" s="243">
        <v>7859</v>
      </c>
      <c r="J164" s="243">
        <v>7859</v>
      </c>
      <c r="K164" s="243">
        <v>6581.91</v>
      </c>
      <c r="L164" s="243">
        <v>5894.25</v>
      </c>
      <c r="M164" s="243">
        <v>5403.06</v>
      </c>
      <c r="N164" s="243">
        <v>7859</v>
      </c>
      <c r="O164" s="243">
        <v>7859</v>
      </c>
      <c r="P164" s="243">
        <v>7859</v>
      </c>
      <c r="Q164" s="243">
        <v>8841.3799999999992</v>
      </c>
      <c r="R164" s="243">
        <v>10497.5</v>
      </c>
      <c r="S164" s="243">
        <v>10497.5</v>
      </c>
      <c r="T164" s="243">
        <v>10497.5</v>
      </c>
      <c r="U164" s="263">
        <f t="shared" si="107"/>
        <v>97508.1</v>
      </c>
      <c r="W164" s="264">
        <f t="shared" si="108"/>
        <v>4</v>
      </c>
      <c r="X164" s="264">
        <f t="shared" si="109"/>
        <v>4</v>
      </c>
      <c r="Y164" s="264">
        <f t="shared" si="110"/>
        <v>3.3499987275734826</v>
      </c>
      <c r="Z164" s="264">
        <f t="shared" si="111"/>
        <v>3</v>
      </c>
      <c r="AA164" s="264">
        <f t="shared" si="112"/>
        <v>2.749998727573483</v>
      </c>
      <c r="AB164" s="264">
        <f t="shared" si="113"/>
        <v>4</v>
      </c>
      <c r="AC164" s="264">
        <f t="shared" si="114"/>
        <v>4</v>
      </c>
      <c r="AD164" s="264">
        <f t="shared" si="115"/>
        <v>4</v>
      </c>
      <c r="AE164" s="264">
        <f t="shared" si="116"/>
        <v>4.5000025448530341</v>
      </c>
      <c r="AF164" s="264">
        <f t="shared" si="117"/>
        <v>5</v>
      </c>
      <c r="AG164" s="264">
        <f t="shared" si="118"/>
        <v>5</v>
      </c>
      <c r="AH164" s="264">
        <f t="shared" si="119"/>
        <v>5</v>
      </c>
      <c r="AI164" s="265">
        <f t="shared" si="120"/>
        <v>4.05</v>
      </c>
      <c r="AJ164" s="266">
        <f t="shared" si="121"/>
        <v>48.6</v>
      </c>
      <c r="AK164" s="45"/>
      <c r="AL164" s="266"/>
      <c r="AN164" s="241">
        <v>0</v>
      </c>
      <c r="AO164" s="240">
        <f t="shared" si="127"/>
        <v>0</v>
      </c>
      <c r="AP164" s="241">
        <v>1</v>
      </c>
      <c r="AQ164" s="240">
        <f t="shared" si="128"/>
        <v>4.05</v>
      </c>
      <c r="AR164" s="241">
        <v>0</v>
      </c>
      <c r="AS164" s="240">
        <f t="shared" si="129"/>
        <v>0</v>
      </c>
      <c r="AT164" s="241">
        <v>0</v>
      </c>
      <c r="AU164" s="240">
        <f t="shared" si="125"/>
        <v>0</v>
      </c>
    </row>
    <row r="165" spans="2:47" s="253" customFormat="1" x14ac:dyDescent="0.2">
      <c r="B165" s="241" t="str">
        <f t="shared" si="126"/>
        <v>VanccommercialVC4Y6W</v>
      </c>
      <c r="C165" s="232" t="s">
        <v>814</v>
      </c>
      <c r="D165" s="232" t="s">
        <v>234</v>
      </c>
      <c r="E165" s="238">
        <v>2357.6999999999998</v>
      </c>
      <c r="F165" s="238">
        <v>2357.6999999999998</v>
      </c>
      <c r="G165" s="238">
        <v>2519.4</v>
      </c>
      <c r="H165" s="261"/>
      <c r="I165" s="243">
        <v>11788.5</v>
      </c>
      <c r="J165" s="243">
        <v>11788.5</v>
      </c>
      <c r="K165" s="243">
        <v>14146.2</v>
      </c>
      <c r="L165" s="243">
        <v>14146.2</v>
      </c>
      <c r="M165" s="243">
        <v>14146.2</v>
      </c>
      <c r="N165" s="243">
        <v>11788.5</v>
      </c>
      <c r="O165" s="243">
        <v>11788.5</v>
      </c>
      <c r="P165" s="243">
        <v>11984.97</v>
      </c>
      <c r="Q165" s="243">
        <v>14146.2</v>
      </c>
      <c r="R165" s="243">
        <v>14598.26</v>
      </c>
      <c r="S165" s="243">
        <v>15116.4</v>
      </c>
      <c r="T165" s="243">
        <v>17635.8</v>
      </c>
      <c r="U165" s="263">
        <f t="shared" si="107"/>
        <v>163074.22999999998</v>
      </c>
      <c r="W165" s="264">
        <f t="shared" si="108"/>
        <v>5</v>
      </c>
      <c r="X165" s="264">
        <f t="shared" si="109"/>
        <v>5</v>
      </c>
      <c r="Y165" s="264">
        <f t="shared" si="110"/>
        <v>6.0000000000000009</v>
      </c>
      <c r="Z165" s="264">
        <f t="shared" si="111"/>
        <v>6.0000000000000009</v>
      </c>
      <c r="AA165" s="264">
        <f t="shared" si="112"/>
        <v>6.0000000000000009</v>
      </c>
      <c r="AB165" s="264">
        <f t="shared" si="113"/>
        <v>5</v>
      </c>
      <c r="AC165" s="264">
        <f t="shared" si="114"/>
        <v>5</v>
      </c>
      <c r="AD165" s="264">
        <f t="shared" si="115"/>
        <v>5.083331212622471</v>
      </c>
      <c r="AE165" s="264">
        <f t="shared" si="116"/>
        <v>6.0000000000000009</v>
      </c>
      <c r="AF165" s="264">
        <f t="shared" si="117"/>
        <v>5.7943399222036991</v>
      </c>
      <c r="AG165" s="264">
        <f t="shared" si="118"/>
        <v>6</v>
      </c>
      <c r="AH165" s="264">
        <f t="shared" si="119"/>
        <v>6.9999999999999991</v>
      </c>
      <c r="AI165" s="265">
        <f t="shared" si="120"/>
        <v>5.6564725945688465</v>
      </c>
      <c r="AJ165" s="266">
        <f t="shared" si="121"/>
        <v>67.877671134826159</v>
      </c>
      <c r="AK165" s="45"/>
      <c r="AL165" s="266"/>
      <c r="AN165" s="241">
        <v>0</v>
      </c>
      <c r="AO165" s="240">
        <f t="shared" si="127"/>
        <v>0</v>
      </c>
      <c r="AP165" s="241">
        <v>1</v>
      </c>
      <c r="AQ165" s="240">
        <f t="shared" si="128"/>
        <v>5.6564725945688465</v>
      </c>
      <c r="AR165" s="241">
        <v>0</v>
      </c>
      <c r="AS165" s="240">
        <f t="shared" si="129"/>
        <v>0</v>
      </c>
      <c r="AT165" s="241">
        <v>0</v>
      </c>
      <c r="AU165" s="240">
        <f t="shared" si="125"/>
        <v>0</v>
      </c>
    </row>
    <row r="166" spans="2:47" s="253" customFormat="1" x14ac:dyDescent="0.2">
      <c r="B166" s="241" t="str">
        <f t="shared" si="126"/>
        <v>VanccommercialVC5Y1W</v>
      </c>
      <c r="C166" s="232" t="s">
        <v>815</v>
      </c>
      <c r="D166" s="232" t="s">
        <v>236</v>
      </c>
      <c r="E166" s="238">
        <v>471.54</v>
      </c>
      <c r="F166" s="238">
        <v>471.54</v>
      </c>
      <c r="G166" s="238">
        <v>503.88</v>
      </c>
      <c r="H166" s="261"/>
      <c r="I166" s="243">
        <v>943.08</v>
      </c>
      <c r="J166" s="243">
        <v>943.08</v>
      </c>
      <c r="K166" s="243">
        <v>943.08</v>
      </c>
      <c r="L166" s="243">
        <v>943.08</v>
      </c>
      <c r="M166" s="243">
        <v>943.08</v>
      </c>
      <c r="N166" s="243">
        <v>943.08</v>
      </c>
      <c r="O166" s="243">
        <v>943.08</v>
      </c>
      <c r="P166" s="243">
        <v>943.08</v>
      </c>
      <c r="Q166" s="243">
        <v>943.08</v>
      </c>
      <c r="R166" s="243">
        <v>1007.76</v>
      </c>
      <c r="S166" s="243">
        <v>1007.76</v>
      </c>
      <c r="T166" s="243">
        <v>1007.76</v>
      </c>
      <c r="U166" s="263">
        <f t="shared" si="107"/>
        <v>11511.000000000002</v>
      </c>
      <c r="W166" s="264">
        <f t="shared" si="108"/>
        <v>2</v>
      </c>
      <c r="X166" s="264">
        <f t="shared" si="109"/>
        <v>2</v>
      </c>
      <c r="Y166" s="264">
        <f t="shared" si="110"/>
        <v>2</v>
      </c>
      <c r="Z166" s="264">
        <f t="shared" si="111"/>
        <v>2</v>
      </c>
      <c r="AA166" s="264">
        <f t="shared" si="112"/>
        <v>2</v>
      </c>
      <c r="AB166" s="264">
        <f t="shared" si="113"/>
        <v>2</v>
      </c>
      <c r="AC166" s="264">
        <f t="shared" si="114"/>
        <v>2</v>
      </c>
      <c r="AD166" s="264">
        <f t="shared" si="115"/>
        <v>2</v>
      </c>
      <c r="AE166" s="264">
        <f t="shared" si="116"/>
        <v>2</v>
      </c>
      <c r="AF166" s="264">
        <f t="shared" si="117"/>
        <v>2</v>
      </c>
      <c r="AG166" s="264">
        <f t="shared" si="118"/>
        <v>2</v>
      </c>
      <c r="AH166" s="264">
        <f t="shared" si="119"/>
        <v>2</v>
      </c>
      <c r="AI166" s="265">
        <f t="shared" si="120"/>
        <v>2</v>
      </c>
      <c r="AJ166" s="266">
        <f t="shared" si="121"/>
        <v>24</v>
      </c>
      <c r="AK166" s="45"/>
      <c r="AL166" s="266"/>
      <c r="AN166" s="241">
        <v>0</v>
      </c>
      <c r="AO166" s="240">
        <f t="shared" si="127"/>
        <v>0</v>
      </c>
      <c r="AP166" s="241">
        <v>1</v>
      </c>
      <c r="AQ166" s="240">
        <f t="shared" si="128"/>
        <v>2</v>
      </c>
      <c r="AR166" s="241">
        <v>0</v>
      </c>
      <c r="AS166" s="240">
        <f t="shared" si="129"/>
        <v>0</v>
      </c>
      <c r="AT166" s="241">
        <v>0</v>
      </c>
      <c r="AU166" s="240">
        <f t="shared" si="125"/>
        <v>0</v>
      </c>
    </row>
    <row r="167" spans="2:47" s="253" customFormat="1" x14ac:dyDescent="0.2">
      <c r="B167" s="241" t="str">
        <f t="shared" si="126"/>
        <v>VanccommercialCC6Y2W</v>
      </c>
      <c r="C167" s="232" t="s">
        <v>139</v>
      </c>
      <c r="D167" s="232" t="s">
        <v>239</v>
      </c>
      <c r="E167" s="295">
        <v>362.92</v>
      </c>
      <c r="F167" s="295">
        <v>362.92</v>
      </c>
      <c r="G167" s="238">
        <v>0</v>
      </c>
      <c r="H167" s="261"/>
      <c r="I167" s="243">
        <v>0</v>
      </c>
      <c r="J167" s="243">
        <v>647.16</v>
      </c>
      <c r="K167" s="243">
        <v>0</v>
      </c>
      <c r="L167" s="243">
        <v>0</v>
      </c>
      <c r="M167" s="243">
        <v>0</v>
      </c>
      <c r="N167" s="243">
        <v>0</v>
      </c>
      <c r="O167" s="243">
        <v>0</v>
      </c>
      <c r="P167" s="243">
        <v>0</v>
      </c>
      <c r="Q167" s="243">
        <v>0</v>
      </c>
      <c r="R167" s="243">
        <v>0</v>
      </c>
      <c r="S167" s="243">
        <v>0</v>
      </c>
      <c r="T167" s="243">
        <v>0</v>
      </c>
      <c r="U167" s="263">
        <f t="shared" si="107"/>
        <v>647.16</v>
      </c>
      <c r="W167" s="264">
        <f t="shared" si="108"/>
        <v>0</v>
      </c>
      <c r="X167" s="264">
        <f t="shared" si="109"/>
        <v>1.7832029097321722</v>
      </c>
      <c r="Y167" s="264">
        <f t="shared" si="110"/>
        <v>0</v>
      </c>
      <c r="Z167" s="264">
        <f t="shared" si="111"/>
        <v>0</v>
      </c>
      <c r="AA167" s="264">
        <f t="shared" si="112"/>
        <v>0</v>
      </c>
      <c r="AB167" s="264">
        <f t="shared" si="113"/>
        <v>0</v>
      </c>
      <c r="AC167" s="264">
        <f t="shared" si="114"/>
        <v>0</v>
      </c>
      <c r="AD167" s="264">
        <f t="shared" si="115"/>
        <v>0</v>
      </c>
      <c r="AE167" s="264">
        <f t="shared" si="116"/>
        <v>0</v>
      </c>
      <c r="AF167" s="264">
        <f t="shared" si="117"/>
        <v>0</v>
      </c>
      <c r="AG167" s="264">
        <f t="shared" si="118"/>
        <v>0</v>
      </c>
      <c r="AH167" s="264">
        <f t="shared" si="119"/>
        <v>0</v>
      </c>
      <c r="AI167" s="265">
        <f t="shared" si="120"/>
        <v>0.14860024247768103</v>
      </c>
      <c r="AJ167" s="266">
        <f t="shared" si="121"/>
        <v>1.7832029097321722</v>
      </c>
      <c r="AK167" s="45"/>
      <c r="AL167" s="266"/>
      <c r="AN167" s="241">
        <v>0</v>
      </c>
      <c r="AO167" s="240">
        <f t="shared" si="127"/>
        <v>0</v>
      </c>
      <c r="AP167" s="241">
        <v>1</v>
      </c>
      <c r="AQ167" s="240">
        <f t="shared" si="128"/>
        <v>0.14860024247768103</v>
      </c>
      <c r="AR167" s="241">
        <v>0</v>
      </c>
      <c r="AS167" s="240">
        <f t="shared" si="129"/>
        <v>0</v>
      </c>
      <c r="AT167" s="241">
        <v>0</v>
      </c>
      <c r="AU167" s="240">
        <f t="shared" si="125"/>
        <v>0</v>
      </c>
    </row>
    <row r="168" spans="2:47" s="253" customFormat="1" x14ac:dyDescent="0.2">
      <c r="B168" s="241" t="str">
        <f>"Vanc"&amp;"commercial"&amp;C168</f>
        <v>VanccommercialRC6Y1W</v>
      </c>
      <c r="C168" s="232" t="s">
        <v>692</v>
      </c>
      <c r="D168" s="232" t="s">
        <v>238</v>
      </c>
      <c r="E168" s="238">
        <v>181.46</v>
      </c>
      <c r="F168" s="238">
        <v>181.46</v>
      </c>
      <c r="G168" s="238">
        <v>191.03</v>
      </c>
      <c r="H168" s="261"/>
      <c r="I168" s="243">
        <v>362.92</v>
      </c>
      <c r="J168" s="243">
        <v>499.01</v>
      </c>
      <c r="K168" s="243">
        <v>544.38</v>
      </c>
      <c r="L168" s="243">
        <v>544.38</v>
      </c>
      <c r="M168" s="243">
        <v>499.01</v>
      </c>
      <c r="N168" s="243">
        <v>362.92</v>
      </c>
      <c r="O168" s="243">
        <v>362.92</v>
      </c>
      <c r="P168" s="243">
        <v>771.22</v>
      </c>
      <c r="Q168" s="243">
        <v>907.3</v>
      </c>
      <c r="R168" s="243">
        <v>955.15</v>
      </c>
      <c r="S168" s="243">
        <v>811.87</v>
      </c>
      <c r="T168" s="243">
        <v>382.06</v>
      </c>
      <c r="U168" s="263">
        <f t="shared" si="107"/>
        <v>7003.14</v>
      </c>
      <c r="W168" s="264">
        <f t="shared" si="108"/>
        <v>2</v>
      </c>
      <c r="X168" s="264">
        <f t="shared" si="109"/>
        <v>2.7499724457180643</v>
      </c>
      <c r="Y168" s="264">
        <f t="shared" si="110"/>
        <v>3</v>
      </c>
      <c r="Z168" s="264">
        <f t="shared" si="111"/>
        <v>3</v>
      </c>
      <c r="AA168" s="264">
        <f t="shared" si="112"/>
        <v>2.7499724457180643</v>
      </c>
      <c r="AB168" s="264">
        <f t="shared" si="113"/>
        <v>2</v>
      </c>
      <c r="AC168" s="264">
        <f t="shared" si="114"/>
        <v>2</v>
      </c>
      <c r="AD168" s="264">
        <f t="shared" si="115"/>
        <v>4.2500826628458066</v>
      </c>
      <c r="AE168" s="264">
        <f t="shared" si="116"/>
        <v>4.9999999999999991</v>
      </c>
      <c r="AF168" s="264">
        <f t="shared" si="117"/>
        <v>5</v>
      </c>
      <c r="AG168" s="264">
        <f t="shared" si="118"/>
        <v>4.2499607391509189</v>
      </c>
      <c r="AH168" s="264">
        <f t="shared" si="119"/>
        <v>2</v>
      </c>
      <c r="AI168" s="265">
        <f t="shared" si="120"/>
        <v>3.1666656911194049</v>
      </c>
      <c r="AJ168" s="266">
        <f t="shared" si="121"/>
        <v>37.999988293432857</v>
      </c>
      <c r="AK168" s="45"/>
      <c r="AL168" s="266"/>
      <c r="AN168" s="241">
        <v>0</v>
      </c>
      <c r="AO168" s="240">
        <f t="shared" si="127"/>
        <v>0</v>
      </c>
      <c r="AP168" s="241">
        <v>1</v>
      </c>
      <c r="AQ168" s="240">
        <f t="shared" si="128"/>
        <v>3.1666656911194049</v>
      </c>
      <c r="AR168" s="241">
        <v>0</v>
      </c>
      <c r="AS168" s="240">
        <f t="shared" si="129"/>
        <v>0</v>
      </c>
      <c r="AT168" s="241">
        <v>0</v>
      </c>
      <c r="AU168" s="240">
        <f t="shared" si="125"/>
        <v>0</v>
      </c>
    </row>
    <row r="169" spans="2:47" s="253" customFormat="1" x14ac:dyDescent="0.2">
      <c r="B169" s="241" t="str">
        <f>"Vanc"&amp;"commercial"&amp;C169</f>
        <v>VanccommercialRC6Y2W</v>
      </c>
      <c r="C169" s="232" t="s">
        <v>693</v>
      </c>
      <c r="D169" s="232" t="s">
        <v>239</v>
      </c>
      <c r="E169" s="238">
        <v>362.92</v>
      </c>
      <c r="F169" s="238">
        <v>362.92</v>
      </c>
      <c r="G169" s="238">
        <v>382.06</v>
      </c>
      <c r="H169" s="261"/>
      <c r="I169" s="243">
        <v>362.92</v>
      </c>
      <c r="J169" s="243">
        <v>362.92</v>
      </c>
      <c r="K169" s="243">
        <v>362.92</v>
      </c>
      <c r="L169" s="243">
        <v>362.92</v>
      </c>
      <c r="M169" s="243">
        <v>453.65</v>
      </c>
      <c r="N169" s="243">
        <v>725.84</v>
      </c>
      <c r="O169" s="243">
        <v>725.84</v>
      </c>
      <c r="P169" s="243">
        <v>408.29</v>
      </c>
      <c r="Q169" s="243">
        <v>362.92</v>
      </c>
      <c r="R169" s="243">
        <v>382.06</v>
      </c>
      <c r="S169" s="243">
        <v>668.62</v>
      </c>
      <c r="T169" s="243">
        <v>1528.24</v>
      </c>
      <c r="U169" s="263">
        <f t="shared" si="107"/>
        <v>6707.14</v>
      </c>
      <c r="W169" s="264">
        <f t="shared" si="108"/>
        <v>1</v>
      </c>
      <c r="X169" s="264">
        <f t="shared" si="109"/>
        <v>1</v>
      </c>
      <c r="Y169" s="264">
        <f t="shared" si="110"/>
        <v>1</v>
      </c>
      <c r="Z169" s="264">
        <f t="shared" si="111"/>
        <v>1</v>
      </c>
      <c r="AA169" s="264">
        <f t="shared" si="112"/>
        <v>1.2499999999999998</v>
      </c>
      <c r="AB169" s="264">
        <f t="shared" si="113"/>
        <v>2</v>
      </c>
      <c r="AC169" s="264">
        <f t="shared" si="114"/>
        <v>2</v>
      </c>
      <c r="AD169" s="264">
        <f t="shared" si="115"/>
        <v>1.1250137771409676</v>
      </c>
      <c r="AE169" s="264">
        <f t="shared" si="116"/>
        <v>1</v>
      </c>
      <c r="AF169" s="264">
        <f t="shared" si="117"/>
        <v>1</v>
      </c>
      <c r="AG169" s="264">
        <f t="shared" si="118"/>
        <v>1.7500392608490813</v>
      </c>
      <c r="AH169" s="264">
        <f t="shared" si="119"/>
        <v>4</v>
      </c>
      <c r="AI169" s="265">
        <f t="shared" si="120"/>
        <v>1.5104210864991707</v>
      </c>
      <c r="AJ169" s="266">
        <f t="shared" si="121"/>
        <v>18.12505303799005</v>
      </c>
      <c r="AK169" s="45"/>
      <c r="AL169" s="266"/>
      <c r="AN169" s="241">
        <v>0</v>
      </c>
      <c r="AO169" s="240">
        <f t="shared" si="127"/>
        <v>0</v>
      </c>
      <c r="AP169" s="241">
        <v>1</v>
      </c>
      <c r="AQ169" s="240">
        <f t="shared" si="128"/>
        <v>1.5104210864991707</v>
      </c>
      <c r="AR169" s="241">
        <v>0</v>
      </c>
      <c r="AS169" s="240">
        <f t="shared" si="129"/>
        <v>0</v>
      </c>
      <c r="AT169" s="241">
        <v>0</v>
      </c>
      <c r="AU169" s="240">
        <f t="shared" si="125"/>
        <v>0</v>
      </c>
    </row>
    <row r="170" spans="2:47" s="253" customFormat="1" x14ac:dyDescent="0.2">
      <c r="B170" s="241" t="str">
        <f t="shared" si="126"/>
        <v>VanccommercialVC6Y1W</v>
      </c>
      <c r="C170" s="232" t="s">
        <v>816</v>
      </c>
      <c r="D170" s="232" t="s">
        <v>238</v>
      </c>
      <c r="E170" s="238">
        <v>550.13</v>
      </c>
      <c r="F170" s="238">
        <v>550.13</v>
      </c>
      <c r="G170" s="238">
        <v>587.86</v>
      </c>
      <c r="H170" s="261"/>
      <c r="I170" s="243">
        <v>67803.520000000004</v>
      </c>
      <c r="J170" s="243">
        <v>67665.990000000005</v>
      </c>
      <c r="K170" s="243">
        <v>67528.45</v>
      </c>
      <c r="L170" s="243">
        <v>67115.850000000006</v>
      </c>
      <c r="M170" s="243">
        <v>67253.350000000006</v>
      </c>
      <c r="N170" s="243">
        <v>68216.13</v>
      </c>
      <c r="O170" s="243">
        <v>66565.73</v>
      </c>
      <c r="P170" s="243">
        <v>65465.48</v>
      </c>
      <c r="Q170" s="243">
        <v>61889.63</v>
      </c>
      <c r="R170" s="243">
        <v>65252.46</v>
      </c>
      <c r="S170" s="243">
        <v>65840.320000000007</v>
      </c>
      <c r="T170" s="243">
        <v>66134.25</v>
      </c>
      <c r="U170" s="263">
        <f t="shared" si="107"/>
        <v>796731.15999999992</v>
      </c>
      <c r="W170" s="264">
        <f t="shared" si="108"/>
        <v>123.24999545561958</v>
      </c>
      <c r="X170" s="264">
        <f t="shared" si="109"/>
        <v>123.00000000000001</v>
      </c>
      <c r="Y170" s="264">
        <f t="shared" si="110"/>
        <v>122.74998636685874</v>
      </c>
      <c r="Z170" s="264">
        <f t="shared" si="111"/>
        <v>121.99998182247833</v>
      </c>
      <c r="AA170" s="264">
        <f t="shared" si="112"/>
        <v>122.24992274553288</v>
      </c>
      <c r="AB170" s="264">
        <f t="shared" si="113"/>
        <v>124.00001817752168</v>
      </c>
      <c r="AC170" s="264">
        <f t="shared" si="114"/>
        <v>121</v>
      </c>
      <c r="AD170" s="264">
        <f t="shared" si="115"/>
        <v>119.00001817752168</v>
      </c>
      <c r="AE170" s="264">
        <f t="shared" si="116"/>
        <v>112.50000908876083</v>
      </c>
      <c r="AF170" s="264">
        <f t="shared" si="117"/>
        <v>111</v>
      </c>
      <c r="AG170" s="264">
        <f t="shared" si="118"/>
        <v>112.00000000000001</v>
      </c>
      <c r="AH170" s="264">
        <f t="shared" si="119"/>
        <v>112.5</v>
      </c>
      <c r="AI170" s="265">
        <f t="shared" si="120"/>
        <v>118.77082765285782</v>
      </c>
      <c r="AJ170" s="266">
        <f t="shared" si="121"/>
        <v>1425.2499318342939</v>
      </c>
      <c r="AK170" s="45"/>
      <c r="AL170" s="266"/>
      <c r="AN170" s="241">
        <v>0</v>
      </c>
      <c r="AO170" s="240">
        <f t="shared" si="127"/>
        <v>0</v>
      </c>
      <c r="AP170" s="241">
        <v>1</v>
      </c>
      <c r="AQ170" s="240">
        <f t="shared" si="128"/>
        <v>118.77082765285782</v>
      </c>
      <c r="AR170" s="241">
        <v>0</v>
      </c>
      <c r="AS170" s="240">
        <f t="shared" si="129"/>
        <v>0</v>
      </c>
      <c r="AT170" s="241">
        <v>0</v>
      </c>
      <c r="AU170" s="240">
        <f t="shared" si="125"/>
        <v>0</v>
      </c>
    </row>
    <row r="171" spans="2:47" s="253" customFormat="1" x14ac:dyDescent="0.2">
      <c r="B171" s="241" t="str">
        <f t="shared" si="126"/>
        <v>VanccommercialVC6Y2W</v>
      </c>
      <c r="C171" s="232" t="s">
        <v>817</v>
      </c>
      <c r="D171" s="232" t="s">
        <v>239</v>
      </c>
      <c r="E171" s="238">
        <v>1100.26</v>
      </c>
      <c r="F171" s="238">
        <v>1100.26</v>
      </c>
      <c r="G171" s="238">
        <v>1175.72</v>
      </c>
      <c r="H171" s="261"/>
      <c r="I171" s="243">
        <v>70004.02</v>
      </c>
      <c r="J171" s="243">
        <v>71516.899999999994</v>
      </c>
      <c r="K171" s="243">
        <v>72617.16</v>
      </c>
      <c r="L171" s="243">
        <v>71516.899999999994</v>
      </c>
      <c r="M171" s="243">
        <v>71929.47</v>
      </c>
      <c r="N171" s="243">
        <v>71516.899999999994</v>
      </c>
      <c r="O171" s="243">
        <v>71791.97</v>
      </c>
      <c r="P171" s="243">
        <v>72892.25</v>
      </c>
      <c r="Q171" s="243">
        <v>73442.36</v>
      </c>
      <c r="R171" s="243">
        <v>80898.3</v>
      </c>
      <c r="S171" s="243">
        <v>89704.34</v>
      </c>
      <c r="T171" s="243">
        <v>80536.820000000007</v>
      </c>
      <c r="U171" s="263">
        <f t="shared" si="107"/>
        <v>898367.3899999999</v>
      </c>
      <c r="W171" s="264">
        <f t="shared" si="108"/>
        <v>63.624979550288117</v>
      </c>
      <c r="X171" s="264">
        <f t="shared" si="109"/>
        <v>65</v>
      </c>
      <c r="Y171" s="264">
        <f t="shared" si="110"/>
        <v>66</v>
      </c>
      <c r="Z171" s="264">
        <f t="shared" si="111"/>
        <v>65</v>
      </c>
      <c r="AA171" s="264">
        <f t="shared" si="112"/>
        <v>65.3749750059077</v>
      </c>
      <c r="AB171" s="264">
        <f t="shared" si="113"/>
        <v>65</v>
      </c>
      <c r="AC171" s="264">
        <f t="shared" si="114"/>
        <v>65.250004544380417</v>
      </c>
      <c r="AD171" s="264">
        <f t="shared" si="115"/>
        <v>66.250022721902099</v>
      </c>
      <c r="AE171" s="264">
        <f t="shared" si="116"/>
        <v>66.750004544380417</v>
      </c>
      <c r="AF171" s="264">
        <f t="shared" si="117"/>
        <v>68.807454155751373</v>
      </c>
      <c r="AG171" s="264">
        <f t="shared" si="118"/>
        <v>76.297366719967329</v>
      </c>
      <c r="AH171" s="264">
        <f t="shared" si="119"/>
        <v>68.5</v>
      </c>
      <c r="AI171" s="265">
        <f t="shared" si="120"/>
        <v>66.821233936881455</v>
      </c>
      <c r="AJ171" s="266">
        <f t="shared" si="121"/>
        <v>801.85480724257741</v>
      </c>
      <c r="AK171" s="45"/>
      <c r="AL171" s="266"/>
      <c r="AN171" s="241">
        <v>0</v>
      </c>
      <c r="AO171" s="240">
        <f t="shared" si="127"/>
        <v>0</v>
      </c>
      <c r="AP171" s="241">
        <v>1</v>
      </c>
      <c r="AQ171" s="240">
        <f t="shared" si="128"/>
        <v>66.821233936881455</v>
      </c>
      <c r="AR171" s="241">
        <v>0</v>
      </c>
      <c r="AS171" s="240">
        <f t="shared" si="129"/>
        <v>0</v>
      </c>
      <c r="AT171" s="241">
        <v>0</v>
      </c>
      <c r="AU171" s="240">
        <f t="shared" si="125"/>
        <v>0</v>
      </c>
    </row>
    <row r="172" spans="2:47" s="253" customFormat="1" x14ac:dyDescent="0.2">
      <c r="B172" s="241" t="str">
        <f t="shared" si="126"/>
        <v>VanccommercialVC6Y3W</v>
      </c>
      <c r="C172" s="232" t="s">
        <v>1241</v>
      </c>
      <c r="D172" s="232" t="s">
        <v>240</v>
      </c>
      <c r="E172" s="238">
        <v>1650.39</v>
      </c>
      <c r="F172" s="238">
        <v>1650.39</v>
      </c>
      <c r="G172" s="238">
        <v>1763.58</v>
      </c>
      <c r="H172" s="261"/>
      <c r="I172" s="243">
        <v>22005.19</v>
      </c>
      <c r="J172" s="243">
        <v>21455.07</v>
      </c>
      <c r="K172" s="243">
        <v>21455.07</v>
      </c>
      <c r="L172" s="243">
        <v>21455.07</v>
      </c>
      <c r="M172" s="243">
        <v>21455.07</v>
      </c>
      <c r="N172" s="243">
        <v>21455.07</v>
      </c>
      <c r="O172" s="243">
        <v>21455.07</v>
      </c>
      <c r="P172" s="243">
        <v>21455.07</v>
      </c>
      <c r="Q172" s="243">
        <v>25168.44</v>
      </c>
      <c r="R172" s="243">
        <v>19925.169999999998</v>
      </c>
      <c r="S172" s="243">
        <v>8073.0300000000007</v>
      </c>
      <c r="T172" s="243">
        <v>21309.93</v>
      </c>
      <c r="U172" s="263">
        <f t="shared" si="107"/>
        <v>246667.25000000003</v>
      </c>
      <c r="W172" s="264">
        <f t="shared" si="108"/>
        <v>13.333327274159439</v>
      </c>
      <c r="X172" s="264">
        <f t="shared" si="109"/>
        <v>12.999999999999998</v>
      </c>
      <c r="Y172" s="264">
        <f t="shared" si="110"/>
        <v>12.999999999999998</v>
      </c>
      <c r="Z172" s="264">
        <f t="shared" si="111"/>
        <v>12.999999999999998</v>
      </c>
      <c r="AA172" s="264">
        <f t="shared" si="112"/>
        <v>12.999999999999998</v>
      </c>
      <c r="AB172" s="264">
        <f t="shared" si="113"/>
        <v>12.999999999999998</v>
      </c>
      <c r="AC172" s="264">
        <f t="shared" si="114"/>
        <v>12.999999999999998</v>
      </c>
      <c r="AD172" s="264">
        <f t="shared" si="115"/>
        <v>12.999999999999998</v>
      </c>
      <c r="AE172" s="264">
        <f t="shared" si="116"/>
        <v>15.24999545561958</v>
      </c>
      <c r="AF172" s="264">
        <f t="shared" si="117"/>
        <v>11.298137878633234</v>
      </c>
      <c r="AG172" s="264">
        <f t="shared" si="118"/>
        <v>4.577637532745892</v>
      </c>
      <c r="AH172" s="264">
        <f t="shared" si="119"/>
        <v>12.083336168475489</v>
      </c>
      <c r="AI172" s="265">
        <f t="shared" si="120"/>
        <v>12.295202859136134</v>
      </c>
      <c r="AJ172" s="266">
        <f t="shared" si="121"/>
        <v>147.54243430963362</v>
      </c>
      <c r="AK172" s="45"/>
      <c r="AL172" s="266"/>
      <c r="AN172" s="241">
        <v>0</v>
      </c>
      <c r="AO172" s="240">
        <f t="shared" si="127"/>
        <v>0</v>
      </c>
      <c r="AP172" s="241">
        <v>1</v>
      </c>
      <c r="AQ172" s="240">
        <f t="shared" si="128"/>
        <v>12.295202859136134</v>
      </c>
      <c r="AR172" s="241">
        <v>0</v>
      </c>
      <c r="AS172" s="240">
        <f t="shared" si="129"/>
        <v>0</v>
      </c>
      <c r="AT172" s="241">
        <v>0</v>
      </c>
      <c r="AU172" s="240">
        <f t="shared" si="125"/>
        <v>0</v>
      </c>
    </row>
    <row r="173" spans="2:47" s="253" customFormat="1" x14ac:dyDescent="0.2">
      <c r="B173" s="241" t="str">
        <f t="shared" si="126"/>
        <v>VanccommercialVC6Y4W</v>
      </c>
      <c r="C173" s="232" t="s">
        <v>818</v>
      </c>
      <c r="D173" s="232" t="s">
        <v>241</v>
      </c>
      <c r="E173" s="238">
        <v>2200.52</v>
      </c>
      <c r="F173" s="238">
        <v>2200.52</v>
      </c>
      <c r="G173" s="238">
        <v>2351.44</v>
      </c>
      <c r="H173" s="261"/>
      <c r="I173" s="243">
        <v>11002.6</v>
      </c>
      <c r="J173" s="243">
        <v>11002.6</v>
      </c>
      <c r="K173" s="243">
        <v>11002.6</v>
      </c>
      <c r="L173" s="243">
        <v>11002.6</v>
      </c>
      <c r="M173" s="243">
        <v>11002.6</v>
      </c>
      <c r="N173" s="243">
        <v>11002.6</v>
      </c>
      <c r="O173" s="243">
        <v>11002.6</v>
      </c>
      <c r="P173" s="243">
        <v>11002.6</v>
      </c>
      <c r="Q173" s="243">
        <v>11002.6</v>
      </c>
      <c r="R173" s="243">
        <v>11757.2</v>
      </c>
      <c r="S173" s="243">
        <v>11757.2</v>
      </c>
      <c r="T173" s="243">
        <v>11757.2</v>
      </c>
      <c r="U173" s="263">
        <f t="shared" si="107"/>
        <v>134295.00000000003</v>
      </c>
      <c r="W173" s="264">
        <f t="shared" si="108"/>
        <v>5</v>
      </c>
      <c r="X173" s="264">
        <f t="shared" si="109"/>
        <v>5</v>
      </c>
      <c r="Y173" s="264">
        <f t="shared" si="110"/>
        <v>5</v>
      </c>
      <c r="Z173" s="264">
        <f t="shared" si="111"/>
        <v>5</v>
      </c>
      <c r="AA173" s="264">
        <f t="shared" si="112"/>
        <v>5</v>
      </c>
      <c r="AB173" s="264">
        <f t="shared" si="113"/>
        <v>5</v>
      </c>
      <c r="AC173" s="264">
        <f t="shared" si="114"/>
        <v>5</v>
      </c>
      <c r="AD173" s="264">
        <f t="shared" si="115"/>
        <v>5</v>
      </c>
      <c r="AE173" s="264">
        <f t="shared" si="116"/>
        <v>5</v>
      </c>
      <c r="AF173" s="264">
        <f t="shared" si="117"/>
        <v>5</v>
      </c>
      <c r="AG173" s="264">
        <f t="shared" si="118"/>
        <v>5</v>
      </c>
      <c r="AH173" s="264">
        <f t="shared" si="119"/>
        <v>5</v>
      </c>
      <c r="AI173" s="265">
        <f t="shared" si="120"/>
        <v>5</v>
      </c>
      <c r="AJ173" s="266">
        <f t="shared" si="121"/>
        <v>60</v>
      </c>
      <c r="AK173" s="45"/>
      <c r="AL173" s="266"/>
      <c r="AN173" s="241">
        <v>0</v>
      </c>
      <c r="AO173" s="240">
        <f t="shared" si="127"/>
        <v>0</v>
      </c>
      <c r="AP173" s="241">
        <v>1</v>
      </c>
      <c r="AQ173" s="240">
        <f t="shared" si="128"/>
        <v>5</v>
      </c>
      <c r="AR173" s="241">
        <v>0</v>
      </c>
      <c r="AS173" s="240">
        <f t="shared" si="129"/>
        <v>0</v>
      </c>
      <c r="AT173" s="241">
        <v>0</v>
      </c>
      <c r="AU173" s="240">
        <f t="shared" si="125"/>
        <v>0</v>
      </c>
    </row>
    <row r="174" spans="2:47" s="253" customFormat="1" x14ac:dyDescent="0.2">
      <c r="B174" s="241" t="str">
        <f t="shared" si="126"/>
        <v>VanccommercialVC6Y5W</v>
      </c>
      <c r="C174" s="232" t="s">
        <v>1096</v>
      </c>
      <c r="D174" s="232" t="s">
        <v>242</v>
      </c>
      <c r="E174" s="238">
        <v>2750.65</v>
      </c>
      <c r="F174" s="238">
        <v>2750.65</v>
      </c>
      <c r="G174" s="238">
        <v>2939.3</v>
      </c>
      <c r="H174" s="261"/>
      <c r="I174" s="243">
        <v>5501.3</v>
      </c>
      <c r="J174" s="243">
        <v>6601.56</v>
      </c>
      <c r="K174" s="243">
        <v>8251.9500000000007</v>
      </c>
      <c r="L174" s="243">
        <v>8251.9500000000007</v>
      </c>
      <c r="M174" s="243">
        <v>8251.9500000000007</v>
      </c>
      <c r="N174" s="243">
        <v>8251.9500000000007</v>
      </c>
      <c r="O174" s="243">
        <v>8251.9500000000007</v>
      </c>
      <c r="P174" s="243">
        <v>8251.9500000000007</v>
      </c>
      <c r="Q174" s="243">
        <v>8251.9500000000007</v>
      </c>
      <c r="R174" s="243">
        <v>8817.9</v>
      </c>
      <c r="S174" s="243">
        <v>8817.9</v>
      </c>
      <c r="T174" s="243">
        <v>8817.9</v>
      </c>
      <c r="U174" s="263">
        <f t="shared" si="107"/>
        <v>96320.209999999977</v>
      </c>
      <c r="W174" s="264">
        <f t="shared" si="108"/>
        <v>2</v>
      </c>
      <c r="X174" s="264">
        <f t="shared" si="109"/>
        <v>2.4</v>
      </c>
      <c r="Y174" s="264">
        <f t="shared" si="110"/>
        <v>3</v>
      </c>
      <c r="Z174" s="264">
        <f t="shared" si="111"/>
        <v>3</v>
      </c>
      <c r="AA174" s="264">
        <f t="shared" si="112"/>
        <v>3</v>
      </c>
      <c r="AB174" s="264">
        <f t="shared" si="113"/>
        <v>3</v>
      </c>
      <c r="AC174" s="264">
        <f t="shared" si="114"/>
        <v>3</v>
      </c>
      <c r="AD174" s="264">
        <f t="shared" si="115"/>
        <v>3</v>
      </c>
      <c r="AE174" s="264">
        <f t="shared" si="116"/>
        <v>3</v>
      </c>
      <c r="AF174" s="264">
        <f t="shared" si="117"/>
        <v>2.9999999999999996</v>
      </c>
      <c r="AG174" s="264">
        <f t="shared" si="118"/>
        <v>2.9999999999999996</v>
      </c>
      <c r="AH174" s="264">
        <f t="shared" si="119"/>
        <v>2.9999999999999996</v>
      </c>
      <c r="AI174" s="265">
        <f t="shared" si="120"/>
        <v>2.8666666666666667</v>
      </c>
      <c r="AJ174" s="266">
        <f t="shared" si="121"/>
        <v>34.4</v>
      </c>
      <c r="AK174" s="45"/>
      <c r="AL174" s="266"/>
      <c r="AN174" s="241">
        <v>0</v>
      </c>
      <c r="AO174" s="240">
        <f t="shared" si="127"/>
        <v>0</v>
      </c>
      <c r="AP174" s="241">
        <v>1</v>
      </c>
      <c r="AQ174" s="240">
        <f t="shared" si="128"/>
        <v>2.8666666666666667</v>
      </c>
      <c r="AR174" s="241">
        <v>0</v>
      </c>
      <c r="AS174" s="240">
        <f t="shared" si="129"/>
        <v>0</v>
      </c>
      <c r="AT174" s="241">
        <v>0</v>
      </c>
      <c r="AU174" s="240">
        <f t="shared" si="125"/>
        <v>0</v>
      </c>
    </row>
    <row r="175" spans="2:47" s="253" customFormat="1" x14ac:dyDescent="0.2">
      <c r="B175" s="241" t="str">
        <f t="shared" si="126"/>
        <v>VanccommercialVC8Y1W</v>
      </c>
      <c r="C175" s="232" t="s">
        <v>819</v>
      </c>
      <c r="D175" s="232" t="s">
        <v>244</v>
      </c>
      <c r="E175" s="238">
        <v>707.31</v>
      </c>
      <c r="F175" s="238">
        <v>707.31</v>
      </c>
      <c r="G175" s="238">
        <v>755.82</v>
      </c>
      <c r="H175" s="261"/>
      <c r="I175" s="243">
        <v>53401.9</v>
      </c>
      <c r="J175" s="243">
        <v>50749.49</v>
      </c>
      <c r="K175" s="243">
        <v>53048.23</v>
      </c>
      <c r="L175" s="243">
        <v>44030.02</v>
      </c>
      <c r="M175" s="243">
        <v>51810.41</v>
      </c>
      <c r="N175" s="243">
        <v>54993.35</v>
      </c>
      <c r="O175" s="243">
        <v>54993.35</v>
      </c>
      <c r="P175" s="243">
        <v>53578.73</v>
      </c>
      <c r="Q175" s="243">
        <v>54286.04</v>
      </c>
      <c r="R175" s="243">
        <v>58198.14</v>
      </c>
      <c r="S175" s="243">
        <v>57631.28</v>
      </c>
      <c r="T175" s="243">
        <v>56686.5</v>
      </c>
      <c r="U175" s="263">
        <f t="shared" si="107"/>
        <v>643407.43999999994</v>
      </c>
      <c r="W175" s="264">
        <f t="shared" si="108"/>
        <v>75.499992930963799</v>
      </c>
      <c r="X175" s="264">
        <f t="shared" si="109"/>
        <v>71.7499964654819</v>
      </c>
      <c r="Y175" s="264">
        <f t="shared" si="110"/>
        <v>74.999971723855182</v>
      </c>
      <c r="Z175" s="264">
        <f t="shared" si="111"/>
        <v>62.24996112030086</v>
      </c>
      <c r="AA175" s="264">
        <f t="shared" si="112"/>
        <v>73.249932844156035</v>
      </c>
      <c r="AB175" s="264">
        <f t="shared" si="113"/>
        <v>77.7499964654819</v>
      </c>
      <c r="AC175" s="264">
        <f t="shared" si="114"/>
        <v>77.7499964654819</v>
      </c>
      <c r="AD175" s="264">
        <f t="shared" si="115"/>
        <v>75.7499964654819</v>
      </c>
      <c r="AE175" s="264">
        <f t="shared" si="116"/>
        <v>76.7499964654819</v>
      </c>
      <c r="AF175" s="264">
        <f t="shared" si="117"/>
        <v>77</v>
      </c>
      <c r="AG175" s="264">
        <f t="shared" si="118"/>
        <v>76.250006615331685</v>
      </c>
      <c r="AH175" s="264">
        <f t="shared" si="119"/>
        <v>75</v>
      </c>
      <c r="AI175" s="265">
        <f t="shared" si="120"/>
        <v>74.49998729683476</v>
      </c>
      <c r="AJ175" s="266">
        <f t="shared" si="121"/>
        <v>893.99984756201707</v>
      </c>
      <c r="AK175" s="45"/>
      <c r="AL175" s="266"/>
      <c r="AN175" s="241">
        <v>0</v>
      </c>
      <c r="AO175" s="240">
        <f t="shared" si="127"/>
        <v>0</v>
      </c>
      <c r="AP175" s="241">
        <v>1</v>
      </c>
      <c r="AQ175" s="240">
        <f t="shared" si="128"/>
        <v>74.49998729683476</v>
      </c>
      <c r="AR175" s="241">
        <v>0</v>
      </c>
      <c r="AS175" s="240">
        <f t="shared" si="129"/>
        <v>0</v>
      </c>
      <c r="AT175" s="241">
        <v>0</v>
      </c>
      <c r="AU175" s="240">
        <f t="shared" si="125"/>
        <v>0</v>
      </c>
    </row>
    <row r="176" spans="2:47" s="253" customFormat="1" x14ac:dyDescent="0.2">
      <c r="B176" s="241" t="str">
        <f t="shared" si="126"/>
        <v>VanccommercialVC8Y2W</v>
      </c>
      <c r="C176" s="232" t="s">
        <v>820</v>
      </c>
      <c r="D176" s="232" t="s">
        <v>245</v>
      </c>
      <c r="E176" s="238">
        <v>1414.62</v>
      </c>
      <c r="F176" s="238">
        <v>1414.62</v>
      </c>
      <c r="G176" s="238">
        <v>1511.64</v>
      </c>
      <c r="H176" s="261"/>
      <c r="I176" s="243">
        <v>47743.42</v>
      </c>
      <c r="J176" s="243">
        <v>47743.42</v>
      </c>
      <c r="K176" s="243">
        <v>48804.39</v>
      </c>
      <c r="L176" s="243">
        <v>48097.08</v>
      </c>
      <c r="M176" s="243">
        <v>48450.73</v>
      </c>
      <c r="N176" s="243">
        <v>46682.46</v>
      </c>
      <c r="O176" s="243">
        <v>46328.81</v>
      </c>
      <c r="P176" s="243">
        <v>48273.91</v>
      </c>
      <c r="Q176" s="243">
        <v>48097.08</v>
      </c>
      <c r="R176" s="243">
        <v>51395.76</v>
      </c>
      <c r="S176" s="243">
        <v>51584.72</v>
      </c>
      <c r="T176" s="243">
        <v>52907.4</v>
      </c>
      <c r="U176" s="263">
        <f t="shared" si="107"/>
        <v>586109.18000000005</v>
      </c>
      <c r="W176" s="264">
        <f t="shared" si="108"/>
        <v>33.7499964654819</v>
      </c>
      <c r="X176" s="264">
        <f t="shared" si="109"/>
        <v>33.7499964654819</v>
      </c>
      <c r="Y176" s="264">
        <f t="shared" si="110"/>
        <v>34.5</v>
      </c>
      <c r="Z176" s="264">
        <f t="shared" si="111"/>
        <v>34.000000000000007</v>
      </c>
      <c r="AA176" s="264">
        <f t="shared" si="112"/>
        <v>34.2499964654819</v>
      </c>
      <c r="AB176" s="264">
        <f t="shared" si="113"/>
        <v>33</v>
      </c>
      <c r="AC176" s="264">
        <f t="shared" si="114"/>
        <v>32.750003534518108</v>
      </c>
      <c r="AD176" s="264">
        <f t="shared" si="115"/>
        <v>34.125001767259057</v>
      </c>
      <c r="AE176" s="264">
        <f t="shared" si="116"/>
        <v>34.000000000000007</v>
      </c>
      <c r="AF176" s="264">
        <f t="shared" si="117"/>
        <v>34</v>
      </c>
      <c r="AG176" s="264">
        <f t="shared" si="118"/>
        <v>34.125003307665843</v>
      </c>
      <c r="AH176" s="264">
        <f t="shared" si="119"/>
        <v>35</v>
      </c>
      <c r="AI176" s="265">
        <f t="shared" si="120"/>
        <v>33.937499833824056</v>
      </c>
      <c r="AJ176" s="266">
        <f t="shared" si="121"/>
        <v>407.2499980058887</v>
      </c>
      <c r="AK176" s="45"/>
      <c r="AL176" s="266"/>
      <c r="AN176" s="241">
        <v>0</v>
      </c>
      <c r="AO176" s="240">
        <f t="shared" si="127"/>
        <v>0</v>
      </c>
      <c r="AP176" s="241">
        <v>1</v>
      </c>
      <c r="AQ176" s="240">
        <f t="shared" si="128"/>
        <v>33.937499833824056</v>
      </c>
      <c r="AR176" s="241">
        <v>0</v>
      </c>
      <c r="AS176" s="240">
        <f t="shared" si="129"/>
        <v>0</v>
      </c>
      <c r="AT176" s="241">
        <v>0</v>
      </c>
      <c r="AU176" s="240">
        <f t="shared" si="125"/>
        <v>0</v>
      </c>
    </row>
    <row r="177" spans="2:47" s="253" customFormat="1" x14ac:dyDescent="0.2">
      <c r="B177" s="241" t="str">
        <f t="shared" si="126"/>
        <v>VanccommercialVC8Y3W</v>
      </c>
      <c r="C177" s="232" t="s">
        <v>821</v>
      </c>
      <c r="D177" s="232" t="s">
        <v>246</v>
      </c>
      <c r="E177" s="238">
        <v>2121.9299999999998</v>
      </c>
      <c r="F177" s="238">
        <v>2121.9299999999998</v>
      </c>
      <c r="G177" s="238">
        <v>2267.46</v>
      </c>
      <c r="H177" s="261"/>
      <c r="I177" s="243">
        <v>42969.08</v>
      </c>
      <c r="J177" s="243">
        <v>48804.39</v>
      </c>
      <c r="K177" s="243">
        <v>48804.39</v>
      </c>
      <c r="L177" s="243">
        <v>48804.39</v>
      </c>
      <c r="M177" s="243">
        <v>48804.39</v>
      </c>
      <c r="N177" s="243">
        <v>48804.39</v>
      </c>
      <c r="O177" s="243">
        <v>48804.39</v>
      </c>
      <c r="P177" s="243">
        <v>48804.39</v>
      </c>
      <c r="Q177" s="243">
        <v>47743.43</v>
      </c>
      <c r="R177" s="243">
        <v>49884.12</v>
      </c>
      <c r="S177" s="243">
        <v>49884.12</v>
      </c>
      <c r="T177" s="243">
        <v>50639.94</v>
      </c>
      <c r="U177" s="263">
        <f t="shared" si="107"/>
        <v>582751.42000000016</v>
      </c>
      <c r="W177" s="264">
        <f t="shared" si="108"/>
        <v>20.249998821827301</v>
      </c>
      <c r="X177" s="264">
        <f t="shared" si="109"/>
        <v>23</v>
      </c>
      <c r="Y177" s="264">
        <f t="shared" si="110"/>
        <v>23</v>
      </c>
      <c r="Z177" s="264">
        <f t="shared" si="111"/>
        <v>23</v>
      </c>
      <c r="AA177" s="264">
        <f t="shared" si="112"/>
        <v>23</v>
      </c>
      <c r="AB177" s="264">
        <f t="shared" si="113"/>
        <v>23</v>
      </c>
      <c r="AC177" s="264">
        <f t="shared" si="114"/>
        <v>23</v>
      </c>
      <c r="AD177" s="264">
        <f t="shared" si="115"/>
        <v>23</v>
      </c>
      <c r="AE177" s="264">
        <f t="shared" si="116"/>
        <v>22.500002356345405</v>
      </c>
      <c r="AF177" s="264">
        <f t="shared" si="117"/>
        <v>22</v>
      </c>
      <c r="AG177" s="264">
        <f t="shared" si="118"/>
        <v>22</v>
      </c>
      <c r="AH177" s="264">
        <f t="shared" si="119"/>
        <v>22.333333333333336</v>
      </c>
      <c r="AI177" s="265">
        <f t="shared" si="120"/>
        <v>22.506944542625504</v>
      </c>
      <c r="AJ177" s="266">
        <f t="shared" si="121"/>
        <v>270.08333451150605</v>
      </c>
      <c r="AK177" s="45"/>
      <c r="AL177" s="266"/>
      <c r="AN177" s="241">
        <v>0</v>
      </c>
      <c r="AO177" s="240">
        <f t="shared" si="127"/>
        <v>0</v>
      </c>
      <c r="AP177" s="241">
        <v>1</v>
      </c>
      <c r="AQ177" s="240">
        <f t="shared" si="128"/>
        <v>22.506944542625504</v>
      </c>
      <c r="AR177" s="241">
        <v>0</v>
      </c>
      <c r="AS177" s="240">
        <f t="shared" si="129"/>
        <v>0</v>
      </c>
      <c r="AT177" s="241">
        <v>0</v>
      </c>
      <c r="AU177" s="240">
        <f t="shared" si="125"/>
        <v>0</v>
      </c>
    </row>
    <row r="178" spans="2:47" s="253" customFormat="1" x14ac:dyDescent="0.2">
      <c r="B178" s="241" t="str">
        <f t="shared" si="126"/>
        <v>VanccommercialVC8Y4W</v>
      </c>
      <c r="C178" s="232" t="s">
        <v>822</v>
      </c>
      <c r="D178" s="232" t="s">
        <v>247</v>
      </c>
      <c r="E178" s="238">
        <v>2829.24</v>
      </c>
      <c r="F178" s="238">
        <v>2829.24</v>
      </c>
      <c r="G178" s="238">
        <v>3023.28</v>
      </c>
      <c r="H178" s="261"/>
      <c r="I178" s="243">
        <v>5658.48</v>
      </c>
      <c r="J178" s="243">
        <v>5658.48</v>
      </c>
      <c r="K178" s="243">
        <v>5658.48</v>
      </c>
      <c r="L178" s="243">
        <v>5658.48</v>
      </c>
      <c r="M178" s="243">
        <v>5658.48</v>
      </c>
      <c r="N178" s="243">
        <v>5658.48</v>
      </c>
      <c r="O178" s="243">
        <v>5658.48</v>
      </c>
      <c r="P178" s="243">
        <v>5658.48</v>
      </c>
      <c r="Q178" s="243">
        <v>6365.79</v>
      </c>
      <c r="R178" s="243">
        <v>9069.84</v>
      </c>
      <c r="S178" s="243">
        <v>8616.35</v>
      </c>
      <c r="T178" s="243">
        <v>6046.56</v>
      </c>
      <c r="U178" s="263">
        <f t="shared" si="107"/>
        <v>75366.38</v>
      </c>
      <c r="W178" s="264">
        <f t="shared" si="108"/>
        <v>2</v>
      </c>
      <c r="X178" s="264">
        <f t="shared" si="109"/>
        <v>2</v>
      </c>
      <c r="Y178" s="264">
        <f t="shared" si="110"/>
        <v>2</v>
      </c>
      <c r="Z178" s="264">
        <f t="shared" si="111"/>
        <v>2</v>
      </c>
      <c r="AA178" s="264">
        <f t="shared" si="112"/>
        <v>2</v>
      </c>
      <c r="AB178" s="264">
        <f t="shared" si="113"/>
        <v>2</v>
      </c>
      <c r="AC178" s="264">
        <f t="shared" si="114"/>
        <v>2</v>
      </c>
      <c r="AD178" s="264">
        <f t="shared" si="115"/>
        <v>2</v>
      </c>
      <c r="AE178" s="264">
        <f t="shared" si="116"/>
        <v>2.25</v>
      </c>
      <c r="AF178" s="264">
        <f t="shared" si="117"/>
        <v>3</v>
      </c>
      <c r="AG178" s="264">
        <f t="shared" si="118"/>
        <v>2.8500006615331692</v>
      </c>
      <c r="AH178" s="264">
        <f t="shared" si="119"/>
        <v>2</v>
      </c>
      <c r="AI178" s="265">
        <f t="shared" si="120"/>
        <v>2.175000055127764</v>
      </c>
      <c r="AJ178" s="266">
        <f t="shared" si="121"/>
        <v>26.100000661533169</v>
      </c>
      <c r="AK178" s="45"/>
      <c r="AL178" s="266"/>
      <c r="AN178" s="241">
        <v>0</v>
      </c>
      <c r="AO178" s="240">
        <f t="shared" si="127"/>
        <v>0</v>
      </c>
      <c r="AP178" s="241">
        <v>1</v>
      </c>
      <c r="AQ178" s="240">
        <f t="shared" si="128"/>
        <v>2.175000055127764</v>
      </c>
      <c r="AR178" s="241">
        <v>0</v>
      </c>
      <c r="AS178" s="240">
        <f t="shared" si="129"/>
        <v>0</v>
      </c>
      <c r="AT178" s="241">
        <v>0</v>
      </c>
      <c r="AU178" s="240">
        <f t="shared" si="125"/>
        <v>0</v>
      </c>
    </row>
    <row r="179" spans="2:47" s="253" customFormat="1" x14ac:dyDescent="0.2">
      <c r="B179" s="241" t="str">
        <f>"Vanc"&amp;"commercial"&amp;C179</f>
        <v>VanccommercialVC8Y5W</v>
      </c>
      <c r="C179" s="232" t="s">
        <v>823</v>
      </c>
      <c r="D179" s="232" t="s">
        <v>248</v>
      </c>
      <c r="E179" s="238">
        <v>3536.55</v>
      </c>
      <c r="F179" s="238">
        <v>3536.55</v>
      </c>
      <c r="G179" s="238">
        <v>3779.1</v>
      </c>
      <c r="H179" s="261"/>
      <c r="I179" s="243">
        <v>3536.55</v>
      </c>
      <c r="J179" s="243">
        <v>3536.55</v>
      </c>
      <c r="K179" s="243">
        <v>3536.55</v>
      </c>
      <c r="L179" s="243">
        <v>3536.55</v>
      </c>
      <c r="M179" s="243">
        <v>3536.55</v>
      </c>
      <c r="N179" s="243">
        <v>0</v>
      </c>
      <c r="O179" s="243">
        <v>0</v>
      </c>
      <c r="P179" s="243">
        <v>0</v>
      </c>
      <c r="Q179" s="243">
        <v>0</v>
      </c>
      <c r="R179" s="243">
        <v>0</v>
      </c>
      <c r="S179" s="243">
        <v>302.33</v>
      </c>
      <c r="T179" s="243">
        <v>3779.1</v>
      </c>
      <c r="U179" s="263">
        <f>SUM(I179:T179)</f>
        <v>21764.18</v>
      </c>
      <c r="W179" s="264">
        <f t="shared" si="108"/>
        <v>1</v>
      </c>
      <c r="X179" s="264">
        <f t="shared" si="109"/>
        <v>1</v>
      </c>
      <c r="Y179" s="264">
        <f t="shared" si="110"/>
        <v>1</v>
      </c>
      <c r="Z179" s="264">
        <f t="shared" si="111"/>
        <v>1</v>
      </c>
      <c r="AA179" s="264">
        <f t="shared" si="112"/>
        <v>1</v>
      </c>
      <c r="AB179" s="264">
        <f t="shared" si="113"/>
        <v>0</v>
      </c>
      <c r="AC179" s="264">
        <f t="shared" si="114"/>
        <v>0</v>
      </c>
      <c r="AD179" s="264">
        <f t="shared" si="115"/>
        <v>0</v>
      </c>
      <c r="AE179" s="264">
        <f t="shared" si="116"/>
        <v>0</v>
      </c>
      <c r="AF179" s="264">
        <f t="shared" si="117"/>
        <v>0</v>
      </c>
      <c r="AG179" s="264">
        <f t="shared" si="118"/>
        <v>8.0000529226535416E-2</v>
      </c>
      <c r="AH179" s="264">
        <f t="shared" si="119"/>
        <v>1</v>
      </c>
      <c r="AI179" s="265">
        <f>+IFERROR(AVERAGE(W179:AH179),0)</f>
        <v>0.50666671076887793</v>
      </c>
      <c r="AJ179" s="266">
        <f>SUM(W179:AH179)</f>
        <v>6.0800005292265356</v>
      </c>
      <c r="AK179" s="45"/>
      <c r="AL179" s="266"/>
      <c r="AN179" s="241">
        <v>0</v>
      </c>
      <c r="AO179" s="240">
        <f t="shared" si="127"/>
        <v>0</v>
      </c>
      <c r="AP179" s="241">
        <v>1</v>
      </c>
      <c r="AQ179" s="240">
        <f t="shared" si="128"/>
        <v>0.50666671076887793</v>
      </c>
      <c r="AR179" s="241">
        <v>0</v>
      </c>
      <c r="AS179" s="240">
        <f t="shared" si="129"/>
        <v>0</v>
      </c>
      <c r="AT179" s="241">
        <v>0</v>
      </c>
      <c r="AU179" s="240">
        <f>+$AI179*AT179</f>
        <v>0</v>
      </c>
    </row>
    <row r="180" spans="2:47" s="253" customFormat="1" x14ac:dyDescent="0.2">
      <c r="B180" s="241" t="str">
        <f t="shared" si="126"/>
        <v>VanccommercialVC8Y6W</v>
      </c>
      <c r="C180" s="232" t="s">
        <v>824</v>
      </c>
      <c r="D180" s="232" t="s">
        <v>857</v>
      </c>
      <c r="E180" s="238">
        <v>4243.66</v>
      </c>
      <c r="F180" s="238">
        <v>4243.66</v>
      </c>
      <c r="G180" s="238">
        <v>4534.92</v>
      </c>
      <c r="H180" s="261"/>
      <c r="I180" s="243">
        <v>0</v>
      </c>
      <c r="J180" s="243">
        <v>0</v>
      </c>
      <c r="K180" s="243">
        <v>0</v>
      </c>
      <c r="L180" s="243">
        <v>0</v>
      </c>
      <c r="M180" s="243">
        <v>0</v>
      </c>
      <c r="N180" s="243">
        <v>0</v>
      </c>
      <c r="O180" s="243">
        <v>0</v>
      </c>
      <c r="P180" s="243">
        <v>0</v>
      </c>
      <c r="Q180" s="243">
        <v>1060.92</v>
      </c>
      <c r="R180" s="243">
        <v>0</v>
      </c>
      <c r="S180" s="243">
        <v>0</v>
      </c>
      <c r="T180" s="243">
        <v>0</v>
      </c>
      <c r="U180" s="263">
        <f t="shared" si="107"/>
        <v>1060.92</v>
      </c>
      <c r="W180" s="264">
        <f t="shared" si="108"/>
        <v>0</v>
      </c>
      <c r="X180" s="264">
        <f t="shared" si="109"/>
        <v>0</v>
      </c>
      <c r="Y180" s="264">
        <f t="shared" si="110"/>
        <v>0</v>
      </c>
      <c r="Z180" s="264">
        <f t="shared" si="111"/>
        <v>0</v>
      </c>
      <c r="AA180" s="264">
        <f t="shared" si="112"/>
        <v>0</v>
      </c>
      <c r="AB180" s="264">
        <f t="shared" si="113"/>
        <v>0</v>
      </c>
      <c r="AC180" s="264">
        <f t="shared" si="114"/>
        <v>0</v>
      </c>
      <c r="AD180" s="264">
        <f t="shared" si="115"/>
        <v>0</v>
      </c>
      <c r="AE180" s="264">
        <f t="shared" si="116"/>
        <v>0.25000117822822754</v>
      </c>
      <c r="AF180" s="264">
        <f t="shared" si="117"/>
        <v>0</v>
      </c>
      <c r="AG180" s="264">
        <f t="shared" si="118"/>
        <v>0</v>
      </c>
      <c r="AH180" s="264">
        <f t="shared" si="119"/>
        <v>0</v>
      </c>
      <c r="AI180" s="265">
        <f t="shared" si="120"/>
        <v>2.0833431519018963E-2</v>
      </c>
      <c r="AJ180" s="266">
        <f t="shared" si="121"/>
        <v>0.25000117822822754</v>
      </c>
      <c r="AK180" s="45"/>
      <c r="AL180" s="266"/>
      <c r="AN180" s="241">
        <v>0</v>
      </c>
      <c r="AO180" s="240">
        <f t="shared" si="127"/>
        <v>0</v>
      </c>
      <c r="AP180" s="241">
        <v>1</v>
      </c>
      <c r="AQ180" s="240">
        <f t="shared" si="128"/>
        <v>2.0833431519018963E-2</v>
      </c>
      <c r="AR180" s="241">
        <v>0</v>
      </c>
      <c r="AS180" s="240">
        <f t="shared" si="129"/>
        <v>0</v>
      </c>
      <c r="AT180" s="241">
        <v>0</v>
      </c>
      <c r="AU180" s="240">
        <f t="shared" si="125"/>
        <v>0</v>
      </c>
    </row>
    <row r="181" spans="2:47" s="253" customFormat="1" x14ac:dyDescent="0.2">
      <c r="B181" s="241" t="str">
        <f t="shared" si="126"/>
        <v>VanccommercialVCCMP2Y</v>
      </c>
      <c r="C181" s="232" t="s">
        <v>825</v>
      </c>
      <c r="D181" s="232" t="s">
        <v>250</v>
      </c>
      <c r="E181" s="238">
        <v>529.20000000000005</v>
      </c>
      <c r="F181" s="238">
        <v>529.20000000000005</v>
      </c>
      <c r="G181" s="238">
        <v>565.5</v>
      </c>
      <c r="H181" s="261"/>
      <c r="I181" s="243">
        <v>23814</v>
      </c>
      <c r="J181" s="243">
        <v>23814</v>
      </c>
      <c r="K181" s="243">
        <v>24343.200000000001</v>
      </c>
      <c r="L181" s="243">
        <v>23814</v>
      </c>
      <c r="M181" s="243">
        <v>24343.200000000001</v>
      </c>
      <c r="N181" s="243">
        <v>24872.400000000001</v>
      </c>
      <c r="O181" s="243">
        <v>24872.400000000001</v>
      </c>
      <c r="P181" s="243">
        <v>24740.1</v>
      </c>
      <c r="Q181" s="243">
        <v>24475.5</v>
      </c>
      <c r="R181" s="243">
        <v>26578.5</v>
      </c>
      <c r="S181" s="243">
        <v>25588.870000000003</v>
      </c>
      <c r="T181" s="243">
        <v>26013</v>
      </c>
      <c r="U181" s="263">
        <f t="shared" si="107"/>
        <v>297269.17</v>
      </c>
      <c r="W181" s="264">
        <f t="shared" si="108"/>
        <v>44.999999999999993</v>
      </c>
      <c r="X181" s="264">
        <f t="shared" si="109"/>
        <v>44.999999999999993</v>
      </c>
      <c r="Y181" s="264">
        <f t="shared" si="110"/>
        <v>46</v>
      </c>
      <c r="Z181" s="264">
        <f t="shared" si="111"/>
        <v>44.999999999999993</v>
      </c>
      <c r="AA181" s="264">
        <f t="shared" si="112"/>
        <v>46</v>
      </c>
      <c r="AB181" s="264">
        <f t="shared" si="113"/>
        <v>47</v>
      </c>
      <c r="AC181" s="264">
        <f t="shared" si="114"/>
        <v>47</v>
      </c>
      <c r="AD181" s="264">
        <f t="shared" si="115"/>
        <v>46.749999999999993</v>
      </c>
      <c r="AE181" s="264">
        <f t="shared" si="116"/>
        <v>46.249999999999993</v>
      </c>
      <c r="AF181" s="264">
        <f t="shared" si="117"/>
        <v>47</v>
      </c>
      <c r="AG181" s="264">
        <f t="shared" si="118"/>
        <v>45.249991158267022</v>
      </c>
      <c r="AH181" s="264">
        <f t="shared" si="119"/>
        <v>46</v>
      </c>
      <c r="AI181" s="265">
        <f t="shared" si="120"/>
        <v>46.020832596522247</v>
      </c>
      <c r="AJ181" s="266">
        <f t="shared" si="121"/>
        <v>552.24999115826699</v>
      </c>
      <c r="AK181" s="45"/>
      <c r="AL181" s="266"/>
      <c r="AN181" s="241">
        <v>0</v>
      </c>
      <c r="AO181" s="240">
        <f t="shared" si="127"/>
        <v>0</v>
      </c>
      <c r="AP181" s="241">
        <v>1</v>
      </c>
      <c r="AQ181" s="240">
        <f t="shared" si="128"/>
        <v>46.020832596522247</v>
      </c>
      <c r="AR181" s="241">
        <v>0</v>
      </c>
      <c r="AS181" s="240">
        <f t="shared" si="129"/>
        <v>0</v>
      </c>
      <c r="AT181" s="241">
        <v>0</v>
      </c>
      <c r="AU181" s="240">
        <f t="shared" ref="AU181:AU209" si="130">+$AI181*AT181</f>
        <v>0</v>
      </c>
    </row>
    <row r="182" spans="2:47" s="253" customFormat="1" x14ac:dyDescent="0.2">
      <c r="B182" s="241" t="str">
        <f>"Vanc"&amp;"commercial"&amp;C182</f>
        <v>VanccommercialCCCMP2Y</v>
      </c>
      <c r="C182" s="232" t="s">
        <v>148</v>
      </c>
      <c r="D182" s="232" t="s">
        <v>250</v>
      </c>
      <c r="E182" s="238">
        <v>211.71</v>
      </c>
      <c r="F182" s="238">
        <v>211.71</v>
      </c>
      <c r="G182" s="238">
        <v>222.86</v>
      </c>
      <c r="H182" s="261"/>
      <c r="I182" s="243">
        <v>423.42</v>
      </c>
      <c r="J182" s="243">
        <v>423.42</v>
      </c>
      <c r="K182" s="243">
        <v>423.42</v>
      </c>
      <c r="L182" s="243">
        <v>423.42</v>
      </c>
      <c r="M182" s="243">
        <v>423.42</v>
      </c>
      <c r="N182" s="243">
        <v>423.42</v>
      </c>
      <c r="O182" s="243">
        <v>423.42</v>
      </c>
      <c r="P182" s="243">
        <v>423.42</v>
      </c>
      <c r="Q182" s="243">
        <v>423.42</v>
      </c>
      <c r="R182" s="243">
        <v>445.72</v>
      </c>
      <c r="S182" s="243">
        <v>445.72</v>
      </c>
      <c r="T182" s="243">
        <v>445.72</v>
      </c>
      <c r="U182" s="263">
        <f t="shared" si="107"/>
        <v>5147.9400000000005</v>
      </c>
      <c r="W182" s="264">
        <f t="shared" si="108"/>
        <v>2</v>
      </c>
      <c r="X182" s="264">
        <f t="shared" si="109"/>
        <v>2</v>
      </c>
      <c r="Y182" s="264">
        <f t="shared" si="110"/>
        <v>2</v>
      </c>
      <c r="Z182" s="264">
        <f t="shared" si="111"/>
        <v>2</v>
      </c>
      <c r="AA182" s="264">
        <f t="shared" si="112"/>
        <v>2</v>
      </c>
      <c r="AB182" s="264">
        <f t="shared" si="113"/>
        <v>2</v>
      </c>
      <c r="AC182" s="264">
        <f t="shared" si="114"/>
        <v>2</v>
      </c>
      <c r="AD182" s="264">
        <f t="shared" si="115"/>
        <v>2</v>
      </c>
      <c r="AE182" s="264">
        <f t="shared" si="116"/>
        <v>2</v>
      </c>
      <c r="AF182" s="264">
        <f t="shared" si="117"/>
        <v>2</v>
      </c>
      <c r="AG182" s="264">
        <f t="shared" si="118"/>
        <v>2</v>
      </c>
      <c r="AH182" s="264">
        <f t="shared" si="119"/>
        <v>2</v>
      </c>
      <c r="AI182" s="265">
        <f t="shared" si="120"/>
        <v>2</v>
      </c>
      <c r="AJ182" s="266">
        <f t="shared" si="121"/>
        <v>24</v>
      </c>
      <c r="AK182" s="45"/>
      <c r="AL182" s="266"/>
      <c r="AN182" s="241">
        <v>0</v>
      </c>
      <c r="AO182" s="240">
        <f t="shared" si="127"/>
        <v>0</v>
      </c>
      <c r="AP182" s="241">
        <v>1</v>
      </c>
      <c r="AQ182" s="240">
        <f t="shared" si="128"/>
        <v>2</v>
      </c>
      <c r="AR182" s="241">
        <v>0</v>
      </c>
      <c r="AS182" s="240">
        <f t="shared" si="129"/>
        <v>0</v>
      </c>
      <c r="AT182" s="241">
        <v>0</v>
      </c>
      <c r="AU182" s="240">
        <f t="shared" si="130"/>
        <v>0</v>
      </c>
    </row>
    <row r="183" spans="2:47" s="253" customFormat="1" x14ac:dyDescent="0.2">
      <c r="B183" s="241" t="str">
        <f t="shared" si="126"/>
        <v>VanccommercialVCCMP3Y</v>
      </c>
      <c r="C183" s="232" t="s">
        <v>826</v>
      </c>
      <c r="D183" s="232" t="s">
        <v>251</v>
      </c>
      <c r="E183" s="238">
        <v>705.6</v>
      </c>
      <c r="F183" s="238">
        <v>705.6</v>
      </c>
      <c r="G183" s="238">
        <v>754</v>
      </c>
      <c r="H183" s="261"/>
      <c r="I183" s="243">
        <v>19051.2</v>
      </c>
      <c r="J183" s="243">
        <v>19051.2</v>
      </c>
      <c r="K183" s="243">
        <v>19051.2</v>
      </c>
      <c r="L183" s="243">
        <v>19756.8</v>
      </c>
      <c r="M183" s="243">
        <v>20462.400000000001</v>
      </c>
      <c r="N183" s="243">
        <v>20462.400000000001</v>
      </c>
      <c r="O183" s="243">
        <v>22579.200000000001</v>
      </c>
      <c r="P183" s="243">
        <v>22579.200000000001</v>
      </c>
      <c r="Q183" s="243">
        <v>22579.200000000001</v>
      </c>
      <c r="R183" s="243">
        <v>24128</v>
      </c>
      <c r="S183" s="243">
        <v>23374</v>
      </c>
      <c r="T183" s="243">
        <v>23374</v>
      </c>
      <c r="U183" s="263">
        <f t="shared" si="107"/>
        <v>256448.80000000005</v>
      </c>
      <c r="W183" s="264">
        <f t="shared" si="108"/>
        <v>27</v>
      </c>
      <c r="X183" s="264">
        <f t="shared" si="109"/>
        <v>27</v>
      </c>
      <c r="Y183" s="264">
        <f t="shared" si="110"/>
        <v>27</v>
      </c>
      <c r="Z183" s="264">
        <f t="shared" si="111"/>
        <v>27.999999999999996</v>
      </c>
      <c r="AA183" s="264">
        <f t="shared" si="112"/>
        <v>29</v>
      </c>
      <c r="AB183" s="264">
        <f t="shared" si="113"/>
        <v>29</v>
      </c>
      <c r="AC183" s="264">
        <f t="shared" si="114"/>
        <v>32</v>
      </c>
      <c r="AD183" s="264">
        <f t="shared" si="115"/>
        <v>32</v>
      </c>
      <c r="AE183" s="264">
        <f t="shared" si="116"/>
        <v>32</v>
      </c>
      <c r="AF183" s="264">
        <f t="shared" si="117"/>
        <v>32</v>
      </c>
      <c r="AG183" s="264">
        <f t="shared" si="118"/>
        <v>31</v>
      </c>
      <c r="AH183" s="264">
        <f t="shared" si="119"/>
        <v>31</v>
      </c>
      <c r="AI183" s="265">
        <f t="shared" si="120"/>
        <v>29.75</v>
      </c>
      <c r="AJ183" s="266">
        <f t="shared" si="121"/>
        <v>357</v>
      </c>
      <c r="AK183" s="45"/>
      <c r="AL183" s="266"/>
      <c r="AN183" s="241">
        <v>0</v>
      </c>
      <c r="AO183" s="240">
        <f t="shared" si="127"/>
        <v>0</v>
      </c>
      <c r="AP183" s="241">
        <v>1</v>
      </c>
      <c r="AQ183" s="240">
        <f t="shared" si="128"/>
        <v>29.75</v>
      </c>
      <c r="AR183" s="241">
        <v>0</v>
      </c>
      <c r="AS183" s="240">
        <f t="shared" si="129"/>
        <v>0</v>
      </c>
      <c r="AT183" s="241">
        <v>0</v>
      </c>
      <c r="AU183" s="240">
        <f t="shared" si="130"/>
        <v>0</v>
      </c>
    </row>
    <row r="184" spans="2:47" s="253" customFormat="1" x14ac:dyDescent="0.2">
      <c r="B184" s="241" t="str">
        <f t="shared" si="126"/>
        <v>VanccommercialVCCMP4Y</v>
      </c>
      <c r="C184" s="232" t="s">
        <v>827</v>
      </c>
      <c r="D184" s="232" t="s">
        <v>252</v>
      </c>
      <c r="E184" s="238">
        <v>882</v>
      </c>
      <c r="F184" s="238">
        <v>882</v>
      </c>
      <c r="G184" s="238">
        <v>942.5</v>
      </c>
      <c r="H184" s="261"/>
      <c r="I184" s="243">
        <v>24696</v>
      </c>
      <c r="J184" s="243">
        <v>24034.5</v>
      </c>
      <c r="K184" s="243">
        <v>23814</v>
      </c>
      <c r="L184" s="243">
        <v>19404</v>
      </c>
      <c r="M184" s="243">
        <v>19404</v>
      </c>
      <c r="N184" s="243">
        <v>19404</v>
      </c>
      <c r="O184" s="243">
        <v>19404</v>
      </c>
      <c r="P184" s="243">
        <v>20065.5</v>
      </c>
      <c r="Q184" s="243">
        <v>20286</v>
      </c>
      <c r="R184" s="243">
        <v>21677.5</v>
      </c>
      <c r="S184" s="243">
        <v>21677.5</v>
      </c>
      <c r="T184" s="243">
        <v>21677.5</v>
      </c>
      <c r="U184" s="263">
        <f t="shared" si="107"/>
        <v>255544.5</v>
      </c>
      <c r="W184" s="264">
        <f t="shared" si="108"/>
        <v>28</v>
      </c>
      <c r="X184" s="264">
        <f t="shared" si="109"/>
        <v>27.25</v>
      </c>
      <c r="Y184" s="264">
        <f t="shared" si="110"/>
        <v>27</v>
      </c>
      <c r="Z184" s="264">
        <f t="shared" si="111"/>
        <v>22</v>
      </c>
      <c r="AA184" s="264">
        <f t="shared" si="112"/>
        <v>22</v>
      </c>
      <c r="AB184" s="264">
        <f t="shared" si="113"/>
        <v>22</v>
      </c>
      <c r="AC184" s="264">
        <f t="shared" si="114"/>
        <v>22</v>
      </c>
      <c r="AD184" s="264">
        <f t="shared" si="115"/>
        <v>22.75</v>
      </c>
      <c r="AE184" s="264">
        <f t="shared" si="116"/>
        <v>23</v>
      </c>
      <c r="AF184" s="264">
        <f t="shared" si="117"/>
        <v>23</v>
      </c>
      <c r="AG184" s="264">
        <f t="shared" si="118"/>
        <v>23</v>
      </c>
      <c r="AH184" s="264">
        <f t="shared" si="119"/>
        <v>23</v>
      </c>
      <c r="AI184" s="265">
        <f t="shared" si="120"/>
        <v>23.75</v>
      </c>
      <c r="AJ184" s="266">
        <f t="shared" si="121"/>
        <v>285</v>
      </c>
      <c r="AK184" s="45"/>
      <c r="AL184" s="266"/>
      <c r="AN184" s="241">
        <v>0</v>
      </c>
      <c r="AO184" s="240">
        <f t="shared" si="127"/>
        <v>0</v>
      </c>
      <c r="AP184" s="241">
        <v>1</v>
      </c>
      <c r="AQ184" s="240">
        <f t="shared" si="128"/>
        <v>23.75</v>
      </c>
      <c r="AR184" s="241">
        <v>0</v>
      </c>
      <c r="AS184" s="240">
        <f t="shared" si="129"/>
        <v>0</v>
      </c>
      <c r="AT184" s="241">
        <v>0</v>
      </c>
      <c r="AU184" s="240">
        <f t="shared" si="130"/>
        <v>0</v>
      </c>
    </row>
    <row r="185" spans="2:47" s="253" customFormat="1" x14ac:dyDescent="0.2">
      <c r="B185" s="241" t="str">
        <f t="shared" si="126"/>
        <v>VanccommercialCCCMP4Y</v>
      </c>
      <c r="C185" s="232" t="s">
        <v>149</v>
      </c>
      <c r="D185" s="232" t="s">
        <v>252</v>
      </c>
      <c r="E185" s="238">
        <v>423.21</v>
      </c>
      <c r="F185" s="238">
        <v>423.21</v>
      </c>
      <c r="G185" s="238">
        <v>445.72</v>
      </c>
      <c r="H185" s="261"/>
      <c r="I185" s="243">
        <v>0</v>
      </c>
      <c r="J185" s="243">
        <v>0</v>
      </c>
      <c r="K185" s="243">
        <v>0</v>
      </c>
      <c r="L185" s="243">
        <v>0</v>
      </c>
      <c r="M185" s="243">
        <v>0</v>
      </c>
      <c r="N185" s="243">
        <v>0</v>
      </c>
      <c r="O185" s="243">
        <v>0</v>
      </c>
      <c r="P185" s="243">
        <v>0</v>
      </c>
      <c r="Q185" s="243">
        <v>0</v>
      </c>
      <c r="R185" s="243">
        <v>0</v>
      </c>
      <c r="S185" s="243">
        <v>0</v>
      </c>
      <c r="T185" s="243">
        <v>0</v>
      </c>
      <c r="U185" s="263">
        <f t="shared" si="107"/>
        <v>0</v>
      </c>
      <c r="W185" s="264">
        <f t="shared" si="108"/>
        <v>0</v>
      </c>
      <c r="X185" s="264">
        <f t="shared" si="109"/>
        <v>0</v>
      </c>
      <c r="Y185" s="264">
        <f t="shared" si="110"/>
        <v>0</v>
      </c>
      <c r="Z185" s="264">
        <f t="shared" si="111"/>
        <v>0</v>
      </c>
      <c r="AA185" s="264">
        <f t="shared" si="112"/>
        <v>0</v>
      </c>
      <c r="AB185" s="264">
        <f t="shared" si="113"/>
        <v>0</v>
      </c>
      <c r="AC185" s="264">
        <f t="shared" si="114"/>
        <v>0</v>
      </c>
      <c r="AD185" s="264">
        <f t="shared" si="115"/>
        <v>0</v>
      </c>
      <c r="AE185" s="264">
        <f t="shared" si="116"/>
        <v>0</v>
      </c>
      <c r="AF185" s="264">
        <f t="shared" si="117"/>
        <v>0</v>
      </c>
      <c r="AG185" s="264">
        <f t="shared" si="118"/>
        <v>0</v>
      </c>
      <c r="AH185" s="264">
        <f t="shared" si="119"/>
        <v>0</v>
      </c>
      <c r="AI185" s="265">
        <f t="shared" si="120"/>
        <v>0</v>
      </c>
      <c r="AJ185" s="266">
        <f t="shared" si="121"/>
        <v>0</v>
      </c>
      <c r="AK185" s="45"/>
      <c r="AL185" s="266"/>
      <c r="AN185" s="241">
        <v>0</v>
      </c>
      <c r="AO185" s="240">
        <f t="shared" si="127"/>
        <v>0</v>
      </c>
      <c r="AP185" s="241">
        <v>1</v>
      </c>
      <c r="AQ185" s="240">
        <f t="shared" si="128"/>
        <v>0</v>
      </c>
      <c r="AR185" s="241">
        <v>0</v>
      </c>
      <c r="AS185" s="240">
        <f t="shared" si="129"/>
        <v>0</v>
      </c>
      <c r="AT185" s="241">
        <v>0</v>
      </c>
      <c r="AU185" s="240">
        <f t="shared" si="130"/>
        <v>0</v>
      </c>
    </row>
    <row r="186" spans="2:47" s="253" customFormat="1" x14ac:dyDescent="0.2">
      <c r="B186" s="241" t="str">
        <f t="shared" si="126"/>
        <v>VanccommercialVCCMP6Y</v>
      </c>
      <c r="C186" s="232" t="s">
        <v>828</v>
      </c>
      <c r="D186" s="232" t="s">
        <v>858</v>
      </c>
      <c r="E186" s="238">
        <v>1234.8</v>
      </c>
      <c r="F186" s="238">
        <v>1234.8</v>
      </c>
      <c r="G186" s="238">
        <v>1319.5</v>
      </c>
      <c r="H186" s="261"/>
      <c r="I186" s="243">
        <v>11113.2</v>
      </c>
      <c r="J186" s="243">
        <v>11113.2</v>
      </c>
      <c r="K186" s="243">
        <v>11113.2</v>
      </c>
      <c r="L186" s="243">
        <v>11113.2</v>
      </c>
      <c r="M186" s="243">
        <v>11113.2</v>
      </c>
      <c r="N186" s="243">
        <v>11113.2</v>
      </c>
      <c r="O186" s="243">
        <v>11113.2</v>
      </c>
      <c r="P186" s="243">
        <v>11113.2</v>
      </c>
      <c r="Q186" s="243">
        <v>11113.2</v>
      </c>
      <c r="R186" s="243">
        <v>11875.5</v>
      </c>
      <c r="S186" s="243">
        <v>11875.5</v>
      </c>
      <c r="T186" s="243">
        <v>11875.5</v>
      </c>
      <c r="U186" s="263">
        <f t="shared" si="107"/>
        <v>135645.29999999999</v>
      </c>
      <c r="W186" s="264">
        <f t="shared" si="108"/>
        <v>9.0000000000000018</v>
      </c>
      <c r="X186" s="264">
        <f t="shared" si="109"/>
        <v>9.0000000000000018</v>
      </c>
      <c r="Y186" s="264">
        <f t="shared" si="110"/>
        <v>9.0000000000000018</v>
      </c>
      <c r="Z186" s="264">
        <f t="shared" si="111"/>
        <v>9.0000000000000018</v>
      </c>
      <c r="AA186" s="264">
        <f t="shared" si="112"/>
        <v>9.0000000000000018</v>
      </c>
      <c r="AB186" s="264">
        <f t="shared" si="113"/>
        <v>9.0000000000000018</v>
      </c>
      <c r="AC186" s="264">
        <f t="shared" si="114"/>
        <v>9.0000000000000018</v>
      </c>
      <c r="AD186" s="264">
        <f t="shared" si="115"/>
        <v>9.0000000000000018</v>
      </c>
      <c r="AE186" s="264">
        <f t="shared" si="116"/>
        <v>9.0000000000000018</v>
      </c>
      <c r="AF186" s="264">
        <f t="shared" si="117"/>
        <v>9</v>
      </c>
      <c r="AG186" s="264">
        <f t="shared" si="118"/>
        <v>9</v>
      </c>
      <c r="AH186" s="264">
        <f t="shared" si="119"/>
        <v>9</v>
      </c>
      <c r="AI186" s="265">
        <f t="shared" si="120"/>
        <v>9.0000000000000018</v>
      </c>
      <c r="AJ186" s="266">
        <f t="shared" si="121"/>
        <v>108.00000000000001</v>
      </c>
      <c r="AK186" s="45"/>
      <c r="AL186" s="266"/>
      <c r="AN186" s="241">
        <v>0</v>
      </c>
      <c r="AO186" s="240">
        <f t="shared" si="127"/>
        <v>0</v>
      </c>
      <c r="AP186" s="241">
        <v>1</v>
      </c>
      <c r="AQ186" s="240">
        <f t="shared" si="128"/>
        <v>9.0000000000000018</v>
      </c>
      <c r="AR186" s="241">
        <v>0</v>
      </c>
      <c r="AS186" s="240">
        <f t="shared" si="129"/>
        <v>0</v>
      </c>
      <c r="AT186" s="241">
        <v>0</v>
      </c>
      <c r="AU186" s="240">
        <f t="shared" si="130"/>
        <v>0</v>
      </c>
    </row>
    <row r="187" spans="2:47" s="253" customFormat="1" x14ac:dyDescent="0.2">
      <c r="B187" s="241" t="str">
        <f t="shared" si="126"/>
        <v>VanccommercialRC32W2</v>
      </c>
      <c r="C187" s="232" t="s">
        <v>695</v>
      </c>
      <c r="D187" s="232" t="s">
        <v>84</v>
      </c>
      <c r="E187" s="238">
        <v>11.63</v>
      </c>
      <c r="F187" s="238">
        <v>11.63</v>
      </c>
      <c r="G187" s="238">
        <v>12.24</v>
      </c>
      <c r="H187" s="261"/>
      <c r="I187" s="243">
        <v>23.26</v>
      </c>
      <c r="J187" s="243">
        <v>23.26</v>
      </c>
      <c r="K187" s="243">
        <v>23.26</v>
      </c>
      <c r="L187" s="243">
        <v>23.26</v>
      </c>
      <c r="M187" s="243">
        <v>23.26</v>
      </c>
      <c r="N187" s="243">
        <v>23.26</v>
      </c>
      <c r="O187" s="243">
        <v>23.26</v>
      </c>
      <c r="P187" s="243">
        <v>23.26</v>
      </c>
      <c r="Q187" s="243">
        <v>23.26</v>
      </c>
      <c r="R187" s="243">
        <v>24.48</v>
      </c>
      <c r="S187" s="243">
        <v>24.48</v>
      </c>
      <c r="T187" s="243">
        <v>24.48</v>
      </c>
      <c r="U187" s="263">
        <f t="shared" si="107"/>
        <v>282.77999999999997</v>
      </c>
      <c r="W187" s="264">
        <f t="shared" si="108"/>
        <v>2</v>
      </c>
      <c r="X187" s="264">
        <f t="shared" si="109"/>
        <v>2</v>
      </c>
      <c r="Y187" s="264">
        <f t="shared" si="110"/>
        <v>2</v>
      </c>
      <c r="Z187" s="264">
        <f t="shared" si="111"/>
        <v>2</v>
      </c>
      <c r="AA187" s="264">
        <f t="shared" si="112"/>
        <v>2</v>
      </c>
      <c r="AB187" s="264">
        <f t="shared" si="113"/>
        <v>2</v>
      </c>
      <c r="AC187" s="264">
        <f t="shared" si="114"/>
        <v>2</v>
      </c>
      <c r="AD187" s="264">
        <f t="shared" si="115"/>
        <v>2</v>
      </c>
      <c r="AE187" s="264">
        <f t="shared" si="116"/>
        <v>2</v>
      </c>
      <c r="AF187" s="264">
        <f t="shared" si="117"/>
        <v>2</v>
      </c>
      <c r="AG187" s="264">
        <f t="shared" si="118"/>
        <v>2</v>
      </c>
      <c r="AH187" s="264">
        <f t="shared" si="119"/>
        <v>2</v>
      </c>
      <c r="AI187" s="265">
        <f t="shared" si="120"/>
        <v>2</v>
      </c>
      <c r="AJ187" s="266">
        <f t="shared" si="121"/>
        <v>24</v>
      </c>
      <c r="AK187" s="45"/>
      <c r="AL187" s="266"/>
      <c r="AN187" s="241">
        <v>2</v>
      </c>
      <c r="AO187" s="240">
        <f t="shared" si="127"/>
        <v>4</v>
      </c>
      <c r="AP187" s="241">
        <v>0</v>
      </c>
      <c r="AQ187" s="240">
        <f t="shared" si="128"/>
        <v>0</v>
      </c>
      <c r="AR187" s="241">
        <v>0</v>
      </c>
      <c r="AS187" s="240">
        <f t="shared" si="129"/>
        <v>0</v>
      </c>
      <c r="AT187" s="241">
        <v>0</v>
      </c>
      <c r="AU187" s="240">
        <f t="shared" si="130"/>
        <v>0</v>
      </c>
    </row>
    <row r="188" spans="2:47" s="253" customFormat="1" x14ac:dyDescent="0.2">
      <c r="B188" s="241" t="str">
        <f t="shared" si="126"/>
        <v>VanccommercialRC32W3</v>
      </c>
      <c r="C188" s="232" t="s">
        <v>696</v>
      </c>
      <c r="D188" s="232" t="s">
        <v>85</v>
      </c>
      <c r="E188" s="238">
        <v>14.19</v>
      </c>
      <c r="F188" s="238">
        <v>14.19</v>
      </c>
      <c r="G188" s="238">
        <v>14.94</v>
      </c>
      <c r="H188" s="261"/>
      <c r="I188" s="243">
        <v>70.95</v>
      </c>
      <c r="J188" s="243">
        <v>70.95</v>
      </c>
      <c r="K188" s="243">
        <v>70.95</v>
      </c>
      <c r="L188" s="243">
        <v>70.95</v>
      </c>
      <c r="M188" s="243">
        <v>70.95</v>
      </c>
      <c r="N188" s="243">
        <v>70.95</v>
      </c>
      <c r="O188" s="243">
        <v>70.95</v>
      </c>
      <c r="P188" s="243">
        <v>70.95</v>
      </c>
      <c r="Q188" s="243">
        <v>70.95</v>
      </c>
      <c r="R188" s="243">
        <v>74.7</v>
      </c>
      <c r="S188" s="243">
        <v>74.7</v>
      </c>
      <c r="T188" s="243">
        <v>74.7</v>
      </c>
      <c r="U188" s="263">
        <f t="shared" si="107"/>
        <v>862.6500000000002</v>
      </c>
      <c r="W188" s="264">
        <f t="shared" si="108"/>
        <v>5</v>
      </c>
      <c r="X188" s="264">
        <f t="shared" si="109"/>
        <v>5</v>
      </c>
      <c r="Y188" s="264">
        <f t="shared" si="110"/>
        <v>5</v>
      </c>
      <c r="Z188" s="264">
        <f t="shared" si="111"/>
        <v>5</v>
      </c>
      <c r="AA188" s="264">
        <f t="shared" si="112"/>
        <v>5</v>
      </c>
      <c r="AB188" s="264">
        <f t="shared" si="113"/>
        <v>5</v>
      </c>
      <c r="AC188" s="264">
        <f t="shared" si="114"/>
        <v>5</v>
      </c>
      <c r="AD188" s="264">
        <f t="shared" si="115"/>
        <v>5</v>
      </c>
      <c r="AE188" s="264">
        <f t="shared" si="116"/>
        <v>5</v>
      </c>
      <c r="AF188" s="264">
        <f t="shared" si="117"/>
        <v>5</v>
      </c>
      <c r="AG188" s="264">
        <f t="shared" si="118"/>
        <v>5</v>
      </c>
      <c r="AH188" s="264">
        <f t="shared" si="119"/>
        <v>5</v>
      </c>
      <c r="AI188" s="265">
        <f t="shared" si="120"/>
        <v>5</v>
      </c>
      <c r="AJ188" s="266">
        <f t="shared" si="121"/>
        <v>60</v>
      </c>
      <c r="AK188" s="45"/>
      <c r="AL188" s="266"/>
      <c r="AN188" s="241">
        <v>3</v>
      </c>
      <c r="AO188" s="240">
        <f t="shared" si="127"/>
        <v>15</v>
      </c>
      <c r="AP188" s="241">
        <v>0</v>
      </c>
      <c r="AQ188" s="240">
        <f t="shared" si="128"/>
        <v>0</v>
      </c>
      <c r="AR188" s="241">
        <v>0</v>
      </c>
      <c r="AS188" s="240">
        <f t="shared" si="129"/>
        <v>0</v>
      </c>
      <c r="AT188" s="241">
        <v>0</v>
      </c>
      <c r="AU188" s="240">
        <f t="shared" si="130"/>
        <v>0</v>
      </c>
    </row>
    <row r="189" spans="2:47" s="253" customFormat="1" x14ac:dyDescent="0.2">
      <c r="B189" s="241" t="str">
        <f>"Vanc"&amp;"commercial"&amp;C189</f>
        <v>VanccommercialCC32W1</v>
      </c>
      <c r="C189" s="232" t="s">
        <v>165</v>
      </c>
      <c r="D189" s="232" t="s">
        <v>268</v>
      </c>
      <c r="E189" s="238">
        <v>25.46</v>
      </c>
      <c r="F189" s="238">
        <v>25.46</v>
      </c>
      <c r="G189" s="238">
        <v>27.21</v>
      </c>
      <c r="H189" s="261"/>
      <c r="I189" s="243">
        <v>0</v>
      </c>
      <c r="J189" s="243">
        <v>0</v>
      </c>
      <c r="K189" s="243">
        <v>0</v>
      </c>
      <c r="L189" s="243">
        <v>0</v>
      </c>
      <c r="M189" s="243">
        <v>6.36</v>
      </c>
      <c r="N189" s="243">
        <v>0</v>
      </c>
      <c r="O189" s="243">
        <v>0</v>
      </c>
      <c r="P189" s="243">
        <v>0</v>
      </c>
      <c r="Q189" s="243">
        <v>0</v>
      </c>
      <c r="R189" s="243">
        <v>0</v>
      </c>
      <c r="S189" s="243">
        <v>0</v>
      </c>
      <c r="T189" s="243">
        <v>0</v>
      </c>
      <c r="U189" s="263">
        <f>SUM(I189:T189)</f>
        <v>6.36</v>
      </c>
      <c r="W189" s="264">
        <f t="shared" si="108"/>
        <v>0</v>
      </c>
      <c r="X189" s="264">
        <f t="shared" si="109"/>
        <v>0</v>
      </c>
      <c r="Y189" s="264">
        <f t="shared" si="110"/>
        <v>0</v>
      </c>
      <c r="Z189" s="264">
        <f t="shared" si="111"/>
        <v>0</v>
      </c>
      <c r="AA189" s="264">
        <f t="shared" si="112"/>
        <v>0.24980361351139041</v>
      </c>
      <c r="AB189" s="264">
        <f t="shared" si="113"/>
        <v>0</v>
      </c>
      <c r="AC189" s="264">
        <f t="shared" si="114"/>
        <v>0</v>
      </c>
      <c r="AD189" s="264">
        <f t="shared" si="115"/>
        <v>0</v>
      </c>
      <c r="AE189" s="264">
        <f t="shared" si="116"/>
        <v>0</v>
      </c>
      <c r="AF189" s="264">
        <f t="shared" si="117"/>
        <v>0</v>
      </c>
      <c r="AG189" s="264">
        <f t="shared" si="118"/>
        <v>0</v>
      </c>
      <c r="AH189" s="264">
        <f t="shared" si="119"/>
        <v>0</v>
      </c>
      <c r="AI189" s="265">
        <f>+IFERROR(AVERAGE(W189:AH189),0)</f>
        <v>2.0816967792615867E-2</v>
      </c>
      <c r="AJ189" s="266">
        <f>SUM(W189:AH189)</f>
        <v>0.24980361351139041</v>
      </c>
      <c r="AK189" s="45"/>
      <c r="AL189" s="266"/>
      <c r="AN189" s="241">
        <v>3</v>
      </c>
      <c r="AO189" s="240">
        <f t="shared" si="127"/>
        <v>6.2450903377847602E-2</v>
      </c>
      <c r="AP189" s="241">
        <v>0</v>
      </c>
      <c r="AQ189" s="240">
        <f t="shared" si="128"/>
        <v>0</v>
      </c>
      <c r="AR189" s="241">
        <v>0</v>
      </c>
      <c r="AS189" s="240">
        <f t="shared" si="129"/>
        <v>0</v>
      </c>
      <c r="AT189" s="241">
        <v>0</v>
      </c>
      <c r="AU189" s="240">
        <f>+$AI189*AT189</f>
        <v>0</v>
      </c>
    </row>
    <row r="190" spans="2:47" s="253" customFormat="1" x14ac:dyDescent="0.2">
      <c r="B190" s="241" t="str">
        <f t="shared" si="126"/>
        <v>VanccommercialVCA20W</v>
      </c>
      <c r="C190" s="232" t="s">
        <v>830</v>
      </c>
      <c r="D190" s="232" t="s">
        <v>859</v>
      </c>
      <c r="E190" s="238">
        <v>19.100000000000001</v>
      </c>
      <c r="F190" s="238">
        <v>19.100000000000001</v>
      </c>
      <c r="G190" s="238">
        <v>20.41</v>
      </c>
      <c r="H190" s="261"/>
      <c r="I190" s="243">
        <v>133.69999999999999</v>
      </c>
      <c r="J190" s="243">
        <v>133.69999999999999</v>
      </c>
      <c r="K190" s="243">
        <v>133.69999999999999</v>
      </c>
      <c r="L190" s="243">
        <v>133.69999999999999</v>
      </c>
      <c r="M190" s="243">
        <v>133.69999999999999</v>
      </c>
      <c r="N190" s="243">
        <v>133.69999999999999</v>
      </c>
      <c r="O190" s="243">
        <v>133.69999999999999</v>
      </c>
      <c r="P190" s="243">
        <v>133.69999999999999</v>
      </c>
      <c r="Q190" s="243">
        <v>133.69999999999999</v>
      </c>
      <c r="R190" s="243">
        <v>142.87</v>
      </c>
      <c r="S190" s="243">
        <v>142.87</v>
      </c>
      <c r="T190" s="243">
        <v>142.87</v>
      </c>
      <c r="U190" s="263">
        <f t="shared" si="107"/>
        <v>1631.9099999999999</v>
      </c>
      <c r="W190" s="264">
        <f t="shared" ref="W190:W250" si="131">IFERROR(I190/$E190,0)</f>
        <v>6.9999999999999991</v>
      </c>
      <c r="X190" s="264">
        <f t="shared" ref="X190:X250" si="132">IFERROR(J190/$E190,0)</f>
        <v>6.9999999999999991</v>
      </c>
      <c r="Y190" s="264">
        <f t="shared" ref="Y190:Y250" si="133">IFERROR(K190/$E190,0)</f>
        <v>6.9999999999999991</v>
      </c>
      <c r="Z190" s="264">
        <f t="shared" ref="Z190:Z250" si="134">IFERROR(L190/$F190,0)</f>
        <v>6.9999999999999991</v>
      </c>
      <c r="AA190" s="264">
        <f t="shared" ref="AA190:AA250" si="135">IFERROR(M190/$F190,0)</f>
        <v>6.9999999999999991</v>
      </c>
      <c r="AB190" s="264">
        <f t="shared" ref="AB190:AB250" si="136">IFERROR(N190/$F190,0)</f>
        <v>6.9999999999999991</v>
      </c>
      <c r="AC190" s="264">
        <f t="shared" ref="AC190:AC250" si="137">IFERROR(O190/$F190,0)</f>
        <v>6.9999999999999991</v>
      </c>
      <c r="AD190" s="264">
        <f t="shared" ref="AD190:AD250" si="138">IFERROR(P190/$F190,0)</f>
        <v>6.9999999999999991</v>
      </c>
      <c r="AE190" s="264">
        <f t="shared" ref="AE190:AE250" si="139">IFERROR(Q190/$F190,0)</f>
        <v>6.9999999999999991</v>
      </c>
      <c r="AF190" s="264">
        <f t="shared" ref="AF190:AF250" si="140">IFERROR(R190/$G190,0)</f>
        <v>7</v>
      </c>
      <c r="AG190" s="264">
        <f t="shared" ref="AG190:AG250" si="141">IFERROR(S190/$G190,0)</f>
        <v>7</v>
      </c>
      <c r="AH190" s="264">
        <f t="shared" ref="AH190:AH250" si="142">IFERROR(T190/$G190,0)</f>
        <v>7</v>
      </c>
      <c r="AI190" s="265">
        <f t="shared" si="120"/>
        <v>7</v>
      </c>
      <c r="AJ190" s="266">
        <f t="shared" si="121"/>
        <v>84</v>
      </c>
      <c r="AK190" s="45"/>
      <c r="AL190" s="266"/>
      <c r="AN190" s="241">
        <v>1</v>
      </c>
      <c r="AO190" s="240">
        <f t="shared" ref="AO190:AO209" si="143">+$AI190*AN190</f>
        <v>7</v>
      </c>
      <c r="AP190" s="241">
        <v>0</v>
      </c>
      <c r="AQ190" s="240">
        <f t="shared" ref="AQ190:AQ209" si="144">+$AI190*AP190</f>
        <v>0</v>
      </c>
      <c r="AR190" s="241">
        <v>0</v>
      </c>
      <c r="AS190" s="240">
        <f t="shared" ref="AS190:AS209" si="145">+$AI190*AR190</f>
        <v>0</v>
      </c>
      <c r="AT190" s="241">
        <v>0</v>
      </c>
      <c r="AU190" s="240">
        <f t="shared" si="130"/>
        <v>0</v>
      </c>
    </row>
    <row r="191" spans="2:47" s="253" customFormat="1" x14ac:dyDescent="0.2">
      <c r="B191" s="241" t="str">
        <f t="shared" si="126"/>
        <v>VanccommercialVCA32W2</v>
      </c>
      <c r="C191" s="232" t="s">
        <v>831</v>
      </c>
      <c r="D191" s="232" t="s">
        <v>860</v>
      </c>
      <c r="E191" s="238">
        <v>50.92</v>
      </c>
      <c r="F191" s="238">
        <v>50.92</v>
      </c>
      <c r="G191" s="238">
        <v>54.42</v>
      </c>
      <c r="H191" s="261"/>
      <c r="I191" s="243">
        <v>305.52</v>
      </c>
      <c r="J191" s="243">
        <v>318.25</v>
      </c>
      <c r="K191" s="243">
        <v>305.52</v>
      </c>
      <c r="L191" s="243">
        <v>305.52</v>
      </c>
      <c r="M191" s="243">
        <v>305.52</v>
      </c>
      <c r="N191" s="243">
        <v>305.52</v>
      </c>
      <c r="O191" s="243">
        <v>305.52</v>
      </c>
      <c r="P191" s="243">
        <v>305.52</v>
      </c>
      <c r="Q191" s="243">
        <v>305.52</v>
      </c>
      <c r="R191" s="243">
        <v>326.52</v>
      </c>
      <c r="S191" s="243">
        <v>326.52</v>
      </c>
      <c r="T191" s="243">
        <v>326.52</v>
      </c>
      <c r="U191" s="263">
        <f t="shared" si="107"/>
        <v>3741.97</v>
      </c>
      <c r="W191" s="264">
        <f t="shared" si="131"/>
        <v>5.9999999999999991</v>
      </c>
      <c r="X191" s="264">
        <f t="shared" si="132"/>
        <v>6.25</v>
      </c>
      <c r="Y191" s="264">
        <f t="shared" si="133"/>
        <v>5.9999999999999991</v>
      </c>
      <c r="Z191" s="264">
        <f t="shared" si="134"/>
        <v>5.9999999999999991</v>
      </c>
      <c r="AA191" s="264">
        <f t="shared" si="135"/>
        <v>5.9999999999999991</v>
      </c>
      <c r="AB191" s="264">
        <f t="shared" si="136"/>
        <v>5.9999999999999991</v>
      </c>
      <c r="AC191" s="264">
        <f t="shared" si="137"/>
        <v>5.9999999999999991</v>
      </c>
      <c r="AD191" s="264">
        <f t="shared" si="138"/>
        <v>5.9999999999999991</v>
      </c>
      <c r="AE191" s="264">
        <f t="shared" si="139"/>
        <v>5.9999999999999991</v>
      </c>
      <c r="AF191" s="264">
        <f t="shared" si="140"/>
        <v>5.9999999999999991</v>
      </c>
      <c r="AG191" s="264">
        <f t="shared" si="141"/>
        <v>5.9999999999999991</v>
      </c>
      <c r="AH191" s="264">
        <f t="shared" si="142"/>
        <v>5.9999999999999991</v>
      </c>
      <c r="AI191" s="265">
        <f t="shared" si="120"/>
        <v>6.020833333333333</v>
      </c>
      <c r="AJ191" s="266">
        <f t="shared" si="121"/>
        <v>72.25</v>
      </c>
      <c r="AK191" s="45"/>
      <c r="AL191" s="266"/>
      <c r="AN191" s="241">
        <v>2</v>
      </c>
      <c r="AO191" s="240">
        <f t="shared" si="143"/>
        <v>12.041666666666666</v>
      </c>
      <c r="AP191" s="241">
        <v>0</v>
      </c>
      <c r="AQ191" s="240">
        <f t="shared" si="144"/>
        <v>0</v>
      </c>
      <c r="AR191" s="241">
        <v>0</v>
      </c>
      <c r="AS191" s="240">
        <f t="shared" si="145"/>
        <v>0</v>
      </c>
      <c r="AT191" s="241">
        <v>0</v>
      </c>
      <c r="AU191" s="240">
        <f t="shared" si="130"/>
        <v>0</v>
      </c>
    </row>
    <row r="192" spans="2:47" s="253" customFormat="1" x14ac:dyDescent="0.2">
      <c r="B192" s="241" t="str">
        <f t="shared" si="126"/>
        <v>VanccommercialVCA64W2</v>
      </c>
      <c r="C192" s="232" t="s">
        <v>832</v>
      </c>
      <c r="D192" s="232" t="s">
        <v>861</v>
      </c>
      <c r="E192" s="238">
        <v>101.84</v>
      </c>
      <c r="F192" s="238">
        <v>101.84</v>
      </c>
      <c r="G192" s="238">
        <v>108.84</v>
      </c>
      <c r="H192" s="261"/>
      <c r="I192" s="243">
        <v>1527.6</v>
      </c>
      <c r="J192" s="243">
        <v>1527.6</v>
      </c>
      <c r="K192" s="243">
        <v>1502.14</v>
      </c>
      <c r="L192" s="243">
        <v>1629.44</v>
      </c>
      <c r="M192" s="243">
        <v>1680.36</v>
      </c>
      <c r="N192" s="243">
        <v>1502.08</v>
      </c>
      <c r="O192" s="243">
        <v>1527.6</v>
      </c>
      <c r="P192" s="243">
        <v>1527.6</v>
      </c>
      <c r="Q192" s="243">
        <v>1527.6</v>
      </c>
      <c r="R192" s="243">
        <v>1523.76</v>
      </c>
      <c r="S192" s="243">
        <v>1523.76</v>
      </c>
      <c r="T192" s="243">
        <v>1523.76</v>
      </c>
      <c r="U192" s="263">
        <f t="shared" si="107"/>
        <v>18523.3</v>
      </c>
      <c r="W192" s="264">
        <f t="shared" si="131"/>
        <v>14.999999999999998</v>
      </c>
      <c r="X192" s="264">
        <f t="shared" si="132"/>
        <v>14.999999999999998</v>
      </c>
      <c r="Y192" s="264">
        <f t="shared" si="133"/>
        <v>14.75</v>
      </c>
      <c r="Z192" s="264">
        <f t="shared" si="134"/>
        <v>16</v>
      </c>
      <c r="AA192" s="264">
        <f t="shared" si="135"/>
        <v>16.5</v>
      </c>
      <c r="AB192" s="264">
        <f t="shared" si="136"/>
        <v>14.74941084053417</v>
      </c>
      <c r="AC192" s="264">
        <f t="shared" si="137"/>
        <v>14.999999999999998</v>
      </c>
      <c r="AD192" s="264">
        <f t="shared" si="138"/>
        <v>14.999999999999998</v>
      </c>
      <c r="AE192" s="264">
        <f t="shared" si="139"/>
        <v>14.999999999999998</v>
      </c>
      <c r="AF192" s="264">
        <f t="shared" si="140"/>
        <v>14</v>
      </c>
      <c r="AG192" s="264">
        <f t="shared" si="141"/>
        <v>14</v>
      </c>
      <c r="AH192" s="264">
        <f t="shared" si="142"/>
        <v>14</v>
      </c>
      <c r="AI192" s="265">
        <f t="shared" si="120"/>
        <v>14.916617570044513</v>
      </c>
      <c r="AJ192" s="266">
        <f t="shared" si="121"/>
        <v>178.99941084053415</v>
      </c>
      <c r="AK192" s="45"/>
      <c r="AL192" s="266"/>
      <c r="AN192" s="241">
        <v>2</v>
      </c>
      <c r="AO192" s="240">
        <f t="shared" si="143"/>
        <v>29.833235140089027</v>
      </c>
      <c r="AP192" s="241">
        <v>0</v>
      </c>
      <c r="AQ192" s="240">
        <f t="shared" si="144"/>
        <v>0</v>
      </c>
      <c r="AR192" s="241">
        <v>0</v>
      </c>
      <c r="AS192" s="240">
        <f t="shared" si="145"/>
        <v>0</v>
      </c>
      <c r="AT192" s="241">
        <v>0</v>
      </c>
      <c r="AU192" s="240">
        <f t="shared" si="130"/>
        <v>0</v>
      </c>
    </row>
    <row r="193" spans="2:47" s="253" customFormat="1" x14ac:dyDescent="0.2">
      <c r="B193" s="241" t="str">
        <f t="shared" si="126"/>
        <v>VanccommercialVCA32CO</v>
      </c>
      <c r="C193" s="232" t="s">
        <v>833</v>
      </c>
      <c r="D193" s="232" t="s">
        <v>862</v>
      </c>
      <c r="E193" s="238">
        <v>38.19</v>
      </c>
      <c r="F193" s="238">
        <v>38.19</v>
      </c>
      <c r="G193" s="238">
        <v>40.82</v>
      </c>
      <c r="H193" s="261"/>
      <c r="I193" s="243">
        <v>267.33</v>
      </c>
      <c r="J193" s="243">
        <v>267.33</v>
      </c>
      <c r="K193" s="243">
        <v>267.33</v>
      </c>
      <c r="L193" s="243">
        <v>267.33</v>
      </c>
      <c r="M193" s="243">
        <v>229.14</v>
      </c>
      <c r="N193" s="243">
        <v>229.14</v>
      </c>
      <c r="O193" s="243">
        <v>229.14</v>
      </c>
      <c r="P193" s="243">
        <v>229.14</v>
      </c>
      <c r="Q193" s="243">
        <v>190.95</v>
      </c>
      <c r="R193" s="243">
        <v>214.31</v>
      </c>
      <c r="S193" s="243">
        <v>244.92</v>
      </c>
      <c r="T193" s="243">
        <v>244.92</v>
      </c>
      <c r="U193" s="263">
        <f t="shared" si="107"/>
        <v>2880.9799999999996</v>
      </c>
      <c r="W193" s="264">
        <f t="shared" si="131"/>
        <v>7</v>
      </c>
      <c r="X193" s="264">
        <f t="shared" si="132"/>
        <v>7</v>
      </c>
      <c r="Y193" s="264">
        <f t="shared" si="133"/>
        <v>7</v>
      </c>
      <c r="Z193" s="264">
        <f t="shared" si="134"/>
        <v>7</v>
      </c>
      <c r="AA193" s="264">
        <f t="shared" si="135"/>
        <v>6</v>
      </c>
      <c r="AB193" s="264">
        <f t="shared" si="136"/>
        <v>6</v>
      </c>
      <c r="AC193" s="264">
        <f t="shared" si="137"/>
        <v>6</v>
      </c>
      <c r="AD193" s="264">
        <f t="shared" si="138"/>
        <v>6</v>
      </c>
      <c r="AE193" s="264">
        <f t="shared" si="139"/>
        <v>5</v>
      </c>
      <c r="AF193" s="264">
        <f t="shared" si="140"/>
        <v>5.2501224889759923</v>
      </c>
      <c r="AG193" s="264">
        <f t="shared" si="141"/>
        <v>6</v>
      </c>
      <c r="AH193" s="264">
        <f t="shared" si="142"/>
        <v>6</v>
      </c>
      <c r="AI193" s="265">
        <f t="shared" si="120"/>
        <v>6.1875102074146655</v>
      </c>
      <c r="AJ193" s="266">
        <f t="shared" si="121"/>
        <v>74.25012248897599</v>
      </c>
      <c r="AK193" s="45"/>
      <c r="AL193" s="266"/>
      <c r="AN193" s="241">
        <v>1</v>
      </c>
      <c r="AO193" s="240">
        <f t="shared" si="143"/>
        <v>6.1875102074146655</v>
      </c>
      <c r="AP193" s="241">
        <v>0</v>
      </c>
      <c r="AQ193" s="240">
        <f t="shared" si="144"/>
        <v>0</v>
      </c>
      <c r="AR193" s="241">
        <v>0</v>
      </c>
      <c r="AS193" s="240">
        <f t="shared" si="145"/>
        <v>0</v>
      </c>
      <c r="AT193" s="241">
        <v>0</v>
      </c>
      <c r="AU193" s="240">
        <f t="shared" si="130"/>
        <v>0</v>
      </c>
    </row>
    <row r="194" spans="2:47" s="253" customFormat="1" x14ac:dyDescent="0.2">
      <c r="B194" s="241" t="str">
        <f t="shared" si="126"/>
        <v>VanccommercialVCA32EOW</v>
      </c>
      <c r="C194" s="232" t="s">
        <v>834</v>
      </c>
      <c r="D194" s="232" t="s">
        <v>863</v>
      </c>
      <c r="E194" s="238">
        <v>19.100000000000001</v>
      </c>
      <c r="F194" s="238">
        <v>19.100000000000001</v>
      </c>
      <c r="G194" s="238">
        <v>20.41</v>
      </c>
      <c r="H194" s="261"/>
      <c r="I194" s="243">
        <v>420.2</v>
      </c>
      <c r="J194" s="243">
        <v>420.2</v>
      </c>
      <c r="K194" s="243">
        <v>448.85</v>
      </c>
      <c r="L194" s="243">
        <v>458.4</v>
      </c>
      <c r="M194" s="243">
        <v>439.3</v>
      </c>
      <c r="N194" s="243">
        <v>496.6</v>
      </c>
      <c r="O194" s="243">
        <v>506.15</v>
      </c>
      <c r="P194" s="243">
        <v>496.6</v>
      </c>
      <c r="Q194" s="243">
        <v>496.6</v>
      </c>
      <c r="R194" s="243">
        <v>530.66999999999996</v>
      </c>
      <c r="S194" s="243">
        <v>500.05</v>
      </c>
      <c r="T194" s="243">
        <v>469.43</v>
      </c>
      <c r="U194" s="263">
        <f t="shared" si="107"/>
        <v>5683.0500000000011</v>
      </c>
      <c r="W194" s="264">
        <f t="shared" si="131"/>
        <v>21.999999999999996</v>
      </c>
      <c r="X194" s="264">
        <f t="shared" si="132"/>
        <v>21.999999999999996</v>
      </c>
      <c r="Y194" s="264">
        <f t="shared" si="133"/>
        <v>23.5</v>
      </c>
      <c r="Z194" s="264">
        <f t="shared" si="134"/>
        <v>23.999999999999996</v>
      </c>
      <c r="AA194" s="264">
        <f t="shared" si="135"/>
        <v>23</v>
      </c>
      <c r="AB194" s="264">
        <f t="shared" si="136"/>
        <v>26</v>
      </c>
      <c r="AC194" s="264">
        <f t="shared" si="137"/>
        <v>26.499999999999996</v>
      </c>
      <c r="AD194" s="264">
        <f t="shared" si="138"/>
        <v>26</v>
      </c>
      <c r="AE194" s="264">
        <f t="shared" si="139"/>
        <v>26</v>
      </c>
      <c r="AF194" s="264">
        <f t="shared" si="140"/>
        <v>26.000489955903966</v>
      </c>
      <c r="AG194" s="264">
        <f t="shared" si="141"/>
        <v>24.500244977951986</v>
      </c>
      <c r="AH194" s="264">
        <f t="shared" si="142"/>
        <v>23</v>
      </c>
      <c r="AI194" s="265">
        <f t="shared" si="120"/>
        <v>24.375061244487995</v>
      </c>
      <c r="AJ194" s="266">
        <f t="shared" si="121"/>
        <v>292.50073493385594</v>
      </c>
      <c r="AK194" s="45"/>
      <c r="AL194" s="266"/>
      <c r="AN194" s="241">
        <v>1</v>
      </c>
      <c r="AO194" s="240">
        <f t="shared" si="143"/>
        <v>24.375061244487995</v>
      </c>
      <c r="AP194" s="241">
        <v>0</v>
      </c>
      <c r="AQ194" s="240">
        <f t="shared" si="144"/>
        <v>0</v>
      </c>
      <c r="AR194" s="241">
        <v>0</v>
      </c>
      <c r="AS194" s="240">
        <f t="shared" si="145"/>
        <v>0</v>
      </c>
      <c r="AT194" s="241">
        <v>0</v>
      </c>
      <c r="AU194" s="240">
        <f t="shared" si="130"/>
        <v>0</v>
      </c>
    </row>
    <row r="195" spans="2:47" s="253" customFormat="1" x14ac:dyDescent="0.2">
      <c r="B195" s="241" t="str">
        <f t="shared" si="126"/>
        <v>VanccommercialVCA32W</v>
      </c>
      <c r="C195" s="232" t="s">
        <v>835</v>
      </c>
      <c r="D195" s="232" t="s">
        <v>864</v>
      </c>
      <c r="E195" s="238">
        <v>25.46</v>
      </c>
      <c r="F195" s="238">
        <v>25.46</v>
      </c>
      <c r="G195" s="238">
        <v>27.21</v>
      </c>
      <c r="H195" s="261"/>
      <c r="I195" s="243">
        <v>3347.9700000000003</v>
      </c>
      <c r="J195" s="243">
        <v>3418</v>
      </c>
      <c r="K195" s="243">
        <v>3468.92</v>
      </c>
      <c r="L195" s="243">
        <v>3410.18</v>
      </c>
      <c r="M195" s="243">
        <v>3398.89</v>
      </c>
      <c r="N195" s="243">
        <v>3379.82</v>
      </c>
      <c r="O195" s="243">
        <v>2954.97</v>
      </c>
      <c r="P195" s="243">
        <v>3246.16</v>
      </c>
      <c r="Q195" s="243">
        <v>3207.97</v>
      </c>
      <c r="R195" s="243">
        <v>3428.46</v>
      </c>
      <c r="S195" s="243">
        <v>3414.85</v>
      </c>
      <c r="T195" s="243">
        <v>3748.18</v>
      </c>
      <c r="U195" s="263">
        <f t="shared" si="107"/>
        <v>40424.370000000003</v>
      </c>
      <c r="W195" s="264">
        <f t="shared" si="131"/>
        <v>131.49921445404556</v>
      </c>
      <c r="X195" s="264">
        <f t="shared" si="132"/>
        <v>134.24980361351138</v>
      </c>
      <c r="Y195" s="264">
        <f t="shared" si="133"/>
        <v>136.24980361351138</v>
      </c>
      <c r="Z195" s="264">
        <f t="shared" si="134"/>
        <v>133.942655145326</v>
      </c>
      <c r="AA195" s="264">
        <f t="shared" si="135"/>
        <v>133.49921445404556</v>
      </c>
      <c r="AB195" s="264">
        <f t="shared" si="136"/>
        <v>132.75019638648862</v>
      </c>
      <c r="AC195" s="264">
        <f t="shared" si="137"/>
        <v>116.06323644933228</v>
      </c>
      <c r="AD195" s="264">
        <f t="shared" si="138"/>
        <v>127.50039277297721</v>
      </c>
      <c r="AE195" s="264">
        <f t="shared" si="139"/>
        <v>126.00039277297721</v>
      </c>
      <c r="AF195" s="264">
        <f t="shared" si="140"/>
        <v>126</v>
      </c>
      <c r="AG195" s="264">
        <f t="shared" si="141"/>
        <v>125.49981624402793</v>
      </c>
      <c r="AH195" s="264">
        <f t="shared" si="142"/>
        <v>137.75009187798602</v>
      </c>
      <c r="AI195" s="265">
        <f t="shared" si="120"/>
        <v>130.08373481535244</v>
      </c>
      <c r="AJ195" s="266">
        <f t="shared" si="121"/>
        <v>1561.0048177842293</v>
      </c>
      <c r="AK195" s="45"/>
      <c r="AL195" s="266"/>
      <c r="AN195" s="241">
        <v>1</v>
      </c>
      <c r="AO195" s="240">
        <f t="shared" si="143"/>
        <v>130.08373481535244</v>
      </c>
      <c r="AP195" s="241">
        <v>0</v>
      </c>
      <c r="AQ195" s="240">
        <f t="shared" si="144"/>
        <v>0</v>
      </c>
      <c r="AR195" s="241">
        <v>0</v>
      </c>
      <c r="AS195" s="240">
        <f t="shared" si="145"/>
        <v>0</v>
      </c>
      <c r="AT195" s="241">
        <v>0</v>
      </c>
      <c r="AU195" s="240">
        <f t="shared" si="130"/>
        <v>0</v>
      </c>
    </row>
    <row r="196" spans="2:47" s="253" customFormat="1" x14ac:dyDescent="0.2">
      <c r="B196" s="241" t="str">
        <f>"Vanc"&amp;"commercial"&amp;C196</f>
        <v>VanccommercialVCA32MCO</v>
      </c>
      <c r="C196" s="232" t="s">
        <v>1320</v>
      </c>
      <c r="D196" s="232" t="s">
        <v>1097</v>
      </c>
      <c r="E196" s="238">
        <v>0</v>
      </c>
      <c r="F196" s="238">
        <v>0</v>
      </c>
      <c r="G196" s="238">
        <v>18.36</v>
      </c>
      <c r="H196" s="261"/>
      <c r="I196" s="243">
        <v>17.190000000000001</v>
      </c>
      <c r="J196" s="243">
        <v>17.190000000000001</v>
      </c>
      <c r="K196" s="243">
        <v>17.190000000000001</v>
      </c>
      <c r="L196" s="243">
        <v>17.190000000000001</v>
      </c>
      <c r="M196" s="243">
        <v>17.190000000000001</v>
      </c>
      <c r="N196" s="243">
        <v>17.190000000000001</v>
      </c>
      <c r="O196" s="243">
        <v>17.190000000000001</v>
      </c>
      <c r="P196" s="243">
        <v>17.190000000000001</v>
      </c>
      <c r="Q196" s="243">
        <v>17.190000000000001</v>
      </c>
      <c r="R196" s="243">
        <v>18.36</v>
      </c>
      <c r="S196" s="243">
        <v>18.36</v>
      </c>
      <c r="T196" s="243">
        <v>18.36</v>
      </c>
      <c r="U196" s="263">
        <f t="shared" si="107"/>
        <v>209.79000000000002</v>
      </c>
      <c r="W196" s="264">
        <f t="shared" si="131"/>
        <v>0</v>
      </c>
      <c r="X196" s="264">
        <f t="shared" si="132"/>
        <v>0</v>
      </c>
      <c r="Y196" s="264">
        <f t="shared" si="133"/>
        <v>0</v>
      </c>
      <c r="Z196" s="264">
        <f t="shared" si="134"/>
        <v>0</v>
      </c>
      <c r="AA196" s="264">
        <f t="shared" si="135"/>
        <v>0</v>
      </c>
      <c r="AB196" s="264">
        <f t="shared" si="136"/>
        <v>0</v>
      </c>
      <c r="AC196" s="264">
        <f t="shared" si="137"/>
        <v>0</v>
      </c>
      <c r="AD196" s="264">
        <f t="shared" si="138"/>
        <v>0</v>
      </c>
      <c r="AE196" s="264">
        <f t="shared" si="139"/>
        <v>0</v>
      </c>
      <c r="AF196" s="264">
        <f t="shared" si="140"/>
        <v>1</v>
      </c>
      <c r="AG196" s="264">
        <f t="shared" si="141"/>
        <v>1</v>
      </c>
      <c r="AH196" s="264">
        <f t="shared" si="142"/>
        <v>1</v>
      </c>
      <c r="AI196" s="265">
        <f t="shared" si="120"/>
        <v>0.25</v>
      </c>
      <c r="AJ196" s="266">
        <f t="shared" si="121"/>
        <v>3</v>
      </c>
      <c r="AK196" s="45"/>
      <c r="AL196" s="266"/>
      <c r="AN196" s="241">
        <v>1</v>
      </c>
      <c r="AO196" s="240">
        <f t="shared" si="143"/>
        <v>0.25</v>
      </c>
      <c r="AP196" s="241">
        <v>0</v>
      </c>
      <c r="AQ196" s="240">
        <f t="shared" si="144"/>
        <v>0</v>
      </c>
      <c r="AR196" s="241">
        <v>0</v>
      </c>
      <c r="AS196" s="240">
        <f t="shared" si="145"/>
        <v>0</v>
      </c>
      <c r="AT196" s="241">
        <v>0</v>
      </c>
      <c r="AU196" s="240">
        <f t="shared" si="130"/>
        <v>0</v>
      </c>
    </row>
    <row r="197" spans="2:47" s="253" customFormat="1" x14ac:dyDescent="0.2">
      <c r="B197" s="241" t="str">
        <f t="shared" si="126"/>
        <v>VanccommercialVCA32W3</v>
      </c>
      <c r="C197" s="232" t="s">
        <v>836</v>
      </c>
      <c r="D197" s="232" t="s">
        <v>865</v>
      </c>
      <c r="E197" s="238">
        <v>76.38</v>
      </c>
      <c r="F197" s="238">
        <v>76.38</v>
      </c>
      <c r="G197" s="238">
        <v>81.63</v>
      </c>
      <c r="H197" s="261"/>
      <c r="I197" s="243">
        <v>76.38</v>
      </c>
      <c r="J197" s="243">
        <v>76.38</v>
      </c>
      <c r="K197" s="243">
        <v>76.38</v>
      </c>
      <c r="L197" s="243">
        <v>76.38</v>
      </c>
      <c r="M197" s="243">
        <v>76.38</v>
      </c>
      <c r="N197" s="243">
        <v>76.38</v>
      </c>
      <c r="O197" s="243">
        <v>76.38</v>
      </c>
      <c r="P197" s="243">
        <v>76.38</v>
      </c>
      <c r="Q197" s="243">
        <v>76.38</v>
      </c>
      <c r="R197" s="243">
        <v>81.63</v>
      </c>
      <c r="S197" s="243">
        <v>81.63</v>
      </c>
      <c r="T197" s="243">
        <v>81.63</v>
      </c>
      <c r="U197" s="263">
        <f t="shared" ref="U197:U255" si="146">SUM(I197:T197)</f>
        <v>932.31</v>
      </c>
      <c r="W197" s="264">
        <f t="shared" si="131"/>
        <v>1</v>
      </c>
      <c r="X197" s="264">
        <f t="shared" si="132"/>
        <v>1</v>
      </c>
      <c r="Y197" s="264">
        <f t="shared" si="133"/>
        <v>1</v>
      </c>
      <c r="Z197" s="264">
        <f t="shared" si="134"/>
        <v>1</v>
      </c>
      <c r="AA197" s="264">
        <f t="shared" si="135"/>
        <v>1</v>
      </c>
      <c r="AB197" s="264">
        <f t="shared" si="136"/>
        <v>1</v>
      </c>
      <c r="AC197" s="264">
        <f t="shared" si="137"/>
        <v>1</v>
      </c>
      <c r="AD197" s="264">
        <f t="shared" si="138"/>
        <v>1</v>
      </c>
      <c r="AE197" s="264">
        <f t="shared" si="139"/>
        <v>1</v>
      </c>
      <c r="AF197" s="264">
        <f t="shared" si="140"/>
        <v>1</v>
      </c>
      <c r="AG197" s="264">
        <f t="shared" si="141"/>
        <v>1</v>
      </c>
      <c r="AH197" s="264">
        <f t="shared" si="142"/>
        <v>1</v>
      </c>
      <c r="AI197" s="265">
        <f t="shared" ref="AI197:AI255" si="147">+IFERROR(AVERAGE(W197:AH197),0)</f>
        <v>1</v>
      </c>
      <c r="AJ197" s="266">
        <f t="shared" ref="AJ197:AJ255" si="148">SUM(W197:AH197)</f>
        <v>12</v>
      </c>
      <c r="AK197" s="45"/>
      <c r="AL197" s="266"/>
      <c r="AN197" s="241">
        <v>3</v>
      </c>
      <c r="AO197" s="240">
        <f t="shared" si="143"/>
        <v>3</v>
      </c>
      <c r="AP197" s="241">
        <v>0</v>
      </c>
      <c r="AQ197" s="240">
        <f t="shared" si="144"/>
        <v>0</v>
      </c>
      <c r="AR197" s="241">
        <v>0</v>
      </c>
      <c r="AS197" s="240">
        <f t="shared" si="145"/>
        <v>0</v>
      </c>
      <c r="AT197" s="241">
        <v>0</v>
      </c>
      <c r="AU197" s="240">
        <f t="shared" si="130"/>
        <v>0</v>
      </c>
    </row>
    <row r="198" spans="2:47" s="253" customFormat="1" x14ac:dyDescent="0.2">
      <c r="B198" s="241" t="str">
        <f t="shared" si="126"/>
        <v>VanccommercialVCA64CO</v>
      </c>
      <c r="C198" s="232" t="s">
        <v>837</v>
      </c>
      <c r="D198" s="232" t="s">
        <v>866</v>
      </c>
      <c r="E198" s="238">
        <v>63.65</v>
      </c>
      <c r="F198" s="238">
        <v>63.65</v>
      </c>
      <c r="G198" s="238">
        <v>68.03</v>
      </c>
      <c r="H198" s="261"/>
      <c r="I198" s="243">
        <v>891.1</v>
      </c>
      <c r="J198" s="243">
        <v>891.1</v>
      </c>
      <c r="K198" s="243">
        <v>891.1</v>
      </c>
      <c r="L198" s="243">
        <v>875.18</v>
      </c>
      <c r="M198" s="243">
        <v>827.45</v>
      </c>
      <c r="N198" s="243">
        <v>827.45</v>
      </c>
      <c r="O198" s="243">
        <v>827.45</v>
      </c>
      <c r="P198" s="243">
        <v>827.45</v>
      </c>
      <c r="Q198" s="243">
        <v>922.93</v>
      </c>
      <c r="R198" s="243">
        <v>1003.44</v>
      </c>
      <c r="S198" s="243">
        <v>884.39</v>
      </c>
      <c r="T198" s="243">
        <v>884.39</v>
      </c>
      <c r="U198" s="263">
        <f t="shared" si="146"/>
        <v>10553.429999999998</v>
      </c>
      <c r="W198" s="264">
        <f t="shared" si="131"/>
        <v>14</v>
      </c>
      <c r="X198" s="264">
        <f t="shared" si="132"/>
        <v>14</v>
      </c>
      <c r="Y198" s="264">
        <f t="shared" si="133"/>
        <v>14</v>
      </c>
      <c r="Z198" s="264">
        <f t="shared" si="134"/>
        <v>13.749882168106835</v>
      </c>
      <c r="AA198" s="264">
        <f t="shared" si="135"/>
        <v>13.000000000000002</v>
      </c>
      <c r="AB198" s="264">
        <f t="shared" si="136"/>
        <v>13.000000000000002</v>
      </c>
      <c r="AC198" s="264">
        <f t="shared" si="137"/>
        <v>13.000000000000002</v>
      </c>
      <c r="AD198" s="264">
        <f t="shared" si="138"/>
        <v>13.000000000000002</v>
      </c>
      <c r="AE198" s="264">
        <f t="shared" si="139"/>
        <v>14.500078554595444</v>
      </c>
      <c r="AF198" s="264">
        <f t="shared" si="140"/>
        <v>14.749963251506689</v>
      </c>
      <c r="AG198" s="264">
        <f t="shared" si="141"/>
        <v>13</v>
      </c>
      <c r="AH198" s="264">
        <f t="shared" si="142"/>
        <v>13</v>
      </c>
      <c r="AI198" s="265">
        <f t="shared" si="147"/>
        <v>13.583326997850747</v>
      </c>
      <c r="AJ198" s="266">
        <f t="shared" si="148"/>
        <v>162.99992397420897</v>
      </c>
      <c r="AK198" s="45"/>
      <c r="AL198" s="266"/>
      <c r="AN198" s="241">
        <v>1</v>
      </c>
      <c r="AO198" s="240">
        <f t="shared" si="143"/>
        <v>13.583326997850747</v>
      </c>
      <c r="AP198" s="241">
        <v>0</v>
      </c>
      <c r="AQ198" s="240">
        <f t="shared" si="144"/>
        <v>0</v>
      </c>
      <c r="AR198" s="241">
        <v>0</v>
      </c>
      <c r="AS198" s="240">
        <f t="shared" si="145"/>
        <v>0</v>
      </c>
      <c r="AT198" s="241">
        <v>0</v>
      </c>
      <c r="AU198" s="240">
        <f t="shared" si="130"/>
        <v>0</v>
      </c>
    </row>
    <row r="199" spans="2:47" s="253" customFormat="1" x14ac:dyDescent="0.2">
      <c r="B199" s="241" t="str">
        <f t="shared" si="126"/>
        <v>VanccommercialVCA64EOW</v>
      </c>
      <c r="C199" s="232" t="s">
        <v>838</v>
      </c>
      <c r="D199" s="232" t="s">
        <v>867</v>
      </c>
      <c r="E199" s="238">
        <v>25.46</v>
      </c>
      <c r="F199" s="238">
        <v>25.46</v>
      </c>
      <c r="G199" s="238">
        <v>27.21</v>
      </c>
      <c r="H199" s="261"/>
      <c r="I199" s="243">
        <v>25.46</v>
      </c>
      <c r="J199" s="243">
        <v>25.46</v>
      </c>
      <c r="K199" s="243">
        <v>25.46</v>
      </c>
      <c r="L199" s="243">
        <v>25.46</v>
      </c>
      <c r="M199" s="243">
        <v>25.46</v>
      </c>
      <c r="N199" s="243">
        <v>25.46</v>
      </c>
      <c r="O199" s="243">
        <v>25.46</v>
      </c>
      <c r="P199" s="243">
        <v>25.46</v>
      </c>
      <c r="Q199" s="243">
        <v>25.46</v>
      </c>
      <c r="R199" s="243">
        <v>27.21</v>
      </c>
      <c r="S199" s="243">
        <v>27.21</v>
      </c>
      <c r="T199" s="243">
        <v>27.21</v>
      </c>
      <c r="U199" s="263">
        <f t="shared" si="146"/>
        <v>310.77</v>
      </c>
      <c r="W199" s="264">
        <f t="shared" si="131"/>
        <v>1</v>
      </c>
      <c r="X199" s="264">
        <f t="shared" si="132"/>
        <v>1</v>
      </c>
      <c r="Y199" s="264">
        <f t="shared" si="133"/>
        <v>1</v>
      </c>
      <c r="Z199" s="264">
        <f t="shared" si="134"/>
        <v>1</v>
      </c>
      <c r="AA199" s="264">
        <f t="shared" si="135"/>
        <v>1</v>
      </c>
      <c r="AB199" s="264">
        <f t="shared" si="136"/>
        <v>1</v>
      </c>
      <c r="AC199" s="264">
        <f t="shared" si="137"/>
        <v>1</v>
      </c>
      <c r="AD199" s="264">
        <f t="shared" si="138"/>
        <v>1</v>
      </c>
      <c r="AE199" s="264">
        <f t="shared" si="139"/>
        <v>1</v>
      </c>
      <c r="AF199" s="264">
        <f t="shared" si="140"/>
        <v>1</v>
      </c>
      <c r="AG199" s="264">
        <f t="shared" si="141"/>
        <v>1</v>
      </c>
      <c r="AH199" s="264">
        <f t="shared" si="142"/>
        <v>1</v>
      </c>
      <c r="AI199" s="265">
        <f t="shared" si="147"/>
        <v>1</v>
      </c>
      <c r="AJ199" s="266">
        <f t="shared" si="148"/>
        <v>12</v>
      </c>
      <c r="AK199" s="45"/>
      <c r="AL199" s="266"/>
      <c r="AN199" s="241">
        <v>1</v>
      </c>
      <c r="AO199" s="240">
        <f t="shared" si="143"/>
        <v>1</v>
      </c>
      <c r="AP199" s="241">
        <v>0</v>
      </c>
      <c r="AQ199" s="240">
        <f t="shared" si="144"/>
        <v>0</v>
      </c>
      <c r="AR199" s="241">
        <v>0</v>
      </c>
      <c r="AS199" s="240">
        <f t="shared" si="145"/>
        <v>0</v>
      </c>
      <c r="AT199" s="241">
        <v>0</v>
      </c>
      <c r="AU199" s="240">
        <f t="shared" si="130"/>
        <v>0</v>
      </c>
    </row>
    <row r="200" spans="2:47" s="253" customFormat="1" x14ac:dyDescent="0.2">
      <c r="B200" s="241" t="str">
        <f t="shared" si="126"/>
        <v>VanccommercialVCA64W</v>
      </c>
      <c r="C200" s="232" t="s">
        <v>839</v>
      </c>
      <c r="D200" s="232" t="s">
        <v>868</v>
      </c>
      <c r="E200" s="238">
        <v>50.92</v>
      </c>
      <c r="F200" s="238">
        <v>50.92</v>
      </c>
      <c r="G200" s="238">
        <v>54.42</v>
      </c>
      <c r="H200" s="261"/>
      <c r="I200" s="243">
        <v>10133.08</v>
      </c>
      <c r="J200" s="243">
        <v>10184</v>
      </c>
      <c r="K200" s="243">
        <v>10120.35</v>
      </c>
      <c r="L200" s="243">
        <v>10158.540000000001</v>
      </c>
      <c r="M200" s="243">
        <v>10120.35</v>
      </c>
      <c r="N200" s="243">
        <v>9776.6400000000012</v>
      </c>
      <c r="O200" s="243">
        <v>9802.1</v>
      </c>
      <c r="P200" s="243">
        <v>9916.67</v>
      </c>
      <c r="Q200" s="243">
        <v>9980.32</v>
      </c>
      <c r="R200" s="243">
        <v>10679.93</v>
      </c>
      <c r="S200" s="243">
        <v>10462.24</v>
      </c>
      <c r="T200" s="243">
        <v>10543.88</v>
      </c>
      <c r="U200" s="263">
        <f t="shared" si="146"/>
        <v>121878.09999999999</v>
      </c>
      <c r="W200" s="264">
        <f t="shared" si="131"/>
        <v>199</v>
      </c>
      <c r="X200" s="264">
        <f t="shared" si="132"/>
        <v>200</v>
      </c>
      <c r="Y200" s="264">
        <f t="shared" si="133"/>
        <v>198.75</v>
      </c>
      <c r="Z200" s="264">
        <f t="shared" si="134"/>
        <v>199.5</v>
      </c>
      <c r="AA200" s="264">
        <f t="shared" si="135"/>
        <v>198.75</v>
      </c>
      <c r="AB200" s="264">
        <f t="shared" si="136"/>
        <v>192.00000000000003</v>
      </c>
      <c r="AC200" s="264">
        <f t="shared" si="137"/>
        <v>192.5</v>
      </c>
      <c r="AD200" s="264">
        <f t="shared" si="138"/>
        <v>194.75</v>
      </c>
      <c r="AE200" s="264">
        <f t="shared" si="139"/>
        <v>196</v>
      </c>
      <c r="AF200" s="264">
        <f t="shared" si="140"/>
        <v>196.25009187798602</v>
      </c>
      <c r="AG200" s="264">
        <f t="shared" si="141"/>
        <v>192.24990812201395</v>
      </c>
      <c r="AH200" s="264">
        <f t="shared" si="142"/>
        <v>193.75009187798602</v>
      </c>
      <c r="AI200" s="265">
        <f t="shared" si="147"/>
        <v>196.12500765649884</v>
      </c>
      <c r="AJ200" s="266">
        <f t="shared" si="148"/>
        <v>2353.5000918779861</v>
      </c>
      <c r="AK200" s="45"/>
      <c r="AL200" s="266"/>
      <c r="AN200" s="241">
        <v>1</v>
      </c>
      <c r="AO200" s="240">
        <f t="shared" si="143"/>
        <v>196.12500765649884</v>
      </c>
      <c r="AP200" s="241">
        <v>0</v>
      </c>
      <c r="AQ200" s="240">
        <f t="shared" si="144"/>
        <v>0</v>
      </c>
      <c r="AR200" s="241">
        <v>0</v>
      </c>
      <c r="AS200" s="240">
        <f t="shared" si="145"/>
        <v>0</v>
      </c>
      <c r="AT200" s="241">
        <v>0</v>
      </c>
      <c r="AU200" s="240">
        <f t="shared" si="130"/>
        <v>0</v>
      </c>
    </row>
    <row r="201" spans="2:47" s="253" customFormat="1" x14ac:dyDescent="0.2">
      <c r="B201" s="241" t="str">
        <f t="shared" si="126"/>
        <v>VanccommercialVCA96CO</v>
      </c>
      <c r="C201" s="232" t="s">
        <v>840</v>
      </c>
      <c r="D201" s="232" t="s">
        <v>869</v>
      </c>
      <c r="E201" s="238">
        <v>89.11</v>
      </c>
      <c r="F201" s="238">
        <v>89.11</v>
      </c>
      <c r="G201" s="238">
        <v>95.24</v>
      </c>
      <c r="H201" s="261"/>
      <c r="I201" s="243">
        <v>3029.74</v>
      </c>
      <c r="J201" s="243">
        <v>3029.74</v>
      </c>
      <c r="K201" s="243">
        <v>3029.74</v>
      </c>
      <c r="L201" s="243">
        <v>3029.74</v>
      </c>
      <c r="M201" s="243">
        <v>3029.74</v>
      </c>
      <c r="N201" s="243">
        <v>3052.02</v>
      </c>
      <c r="O201" s="243">
        <v>3453.01</v>
      </c>
      <c r="P201" s="243">
        <v>3386.18</v>
      </c>
      <c r="Q201" s="243">
        <v>3386.18</v>
      </c>
      <c r="R201" s="243">
        <v>3619.12</v>
      </c>
      <c r="S201" s="243">
        <v>3619.12</v>
      </c>
      <c r="T201" s="243">
        <v>3666.74</v>
      </c>
      <c r="U201" s="263">
        <f t="shared" si="146"/>
        <v>39331.069999999992</v>
      </c>
      <c r="W201" s="264">
        <f t="shared" si="131"/>
        <v>34</v>
      </c>
      <c r="X201" s="264">
        <f t="shared" si="132"/>
        <v>34</v>
      </c>
      <c r="Y201" s="264">
        <f t="shared" si="133"/>
        <v>34</v>
      </c>
      <c r="Z201" s="264">
        <f t="shared" si="134"/>
        <v>34</v>
      </c>
      <c r="AA201" s="264">
        <f t="shared" si="135"/>
        <v>34</v>
      </c>
      <c r="AB201" s="264">
        <f t="shared" si="136"/>
        <v>34.25002805521266</v>
      </c>
      <c r="AC201" s="264">
        <f t="shared" si="137"/>
        <v>38.749971944787347</v>
      </c>
      <c r="AD201" s="264">
        <f t="shared" si="138"/>
        <v>38</v>
      </c>
      <c r="AE201" s="264">
        <f t="shared" si="139"/>
        <v>38</v>
      </c>
      <c r="AF201" s="264">
        <f t="shared" si="140"/>
        <v>38</v>
      </c>
      <c r="AG201" s="264">
        <f t="shared" si="141"/>
        <v>38</v>
      </c>
      <c r="AH201" s="264">
        <f t="shared" si="142"/>
        <v>38.5</v>
      </c>
      <c r="AI201" s="265">
        <f t="shared" si="147"/>
        <v>36.125</v>
      </c>
      <c r="AJ201" s="266">
        <f t="shared" si="148"/>
        <v>433.5</v>
      </c>
      <c r="AK201" s="45"/>
      <c r="AL201" s="266"/>
      <c r="AN201" s="241">
        <v>1</v>
      </c>
      <c r="AO201" s="240">
        <f t="shared" si="143"/>
        <v>36.125</v>
      </c>
      <c r="AP201" s="241">
        <v>0</v>
      </c>
      <c r="AQ201" s="240">
        <f t="shared" si="144"/>
        <v>0</v>
      </c>
      <c r="AR201" s="241">
        <v>0</v>
      </c>
      <c r="AS201" s="240">
        <f t="shared" si="145"/>
        <v>0</v>
      </c>
      <c r="AT201" s="241">
        <v>0</v>
      </c>
      <c r="AU201" s="240">
        <f t="shared" si="130"/>
        <v>0</v>
      </c>
    </row>
    <row r="202" spans="2:47" s="253" customFormat="1" x14ac:dyDescent="0.2">
      <c r="B202" s="241" t="str">
        <f t="shared" si="126"/>
        <v>VanccommercialVCA96EOW</v>
      </c>
      <c r="C202" s="232" t="s">
        <v>841</v>
      </c>
      <c r="D202" s="232" t="s">
        <v>870</v>
      </c>
      <c r="E202" s="238">
        <v>38.29</v>
      </c>
      <c r="F202" s="238">
        <v>38.29</v>
      </c>
      <c r="G202" s="238">
        <v>61.23</v>
      </c>
      <c r="H202" s="261"/>
      <c r="I202" s="243">
        <v>76.58</v>
      </c>
      <c r="J202" s="243">
        <v>76.58</v>
      </c>
      <c r="K202" s="243">
        <v>76.58</v>
      </c>
      <c r="L202" s="243">
        <v>76.58</v>
      </c>
      <c r="M202" s="243">
        <v>76.58</v>
      </c>
      <c r="N202" s="243">
        <v>76.58</v>
      </c>
      <c r="O202" s="243">
        <v>76.58</v>
      </c>
      <c r="P202" s="243">
        <v>114.6</v>
      </c>
      <c r="Q202" s="243">
        <v>95.59</v>
      </c>
      <c r="R202" s="243">
        <v>57.3</v>
      </c>
      <c r="S202" s="243">
        <v>57.3</v>
      </c>
      <c r="T202" s="243">
        <v>57.3</v>
      </c>
      <c r="U202" s="263">
        <f t="shared" si="146"/>
        <v>918.14999999999986</v>
      </c>
      <c r="W202" s="264">
        <f t="shared" si="131"/>
        <v>2</v>
      </c>
      <c r="X202" s="264">
        <f t="shared" si="132"/>
        <v>2</v>
      </c>
      <c r="Y202" s="264">
        <f t="shared" si="133"/>
        <v>2</v>
      </c>
      <c r="Z202" s="264">
        <f t="shared" si="134"/>
        <v>2</v>
      </c>
      <c r="AA202" s="264">
        <f t="shared" si="135"/>
        <v>2</v>
      </c>
      <c r="AB202" s="264">
        <f t="shared" si="136"/>
        <v>2</v>
      </c>
      <c r="AC202" s="264">
        <f t="shared" si="137"/>
        <v>2</v>
      </c>
      <c r="AD202" s="264">
        <f t="shared" si="138"/>
        <v>2.9929485505353877</v>
      </c>
      <c r="AE202" s="264">
        <f t="shared" si="139"/>
        <v>2.4964742752676941</v>
      </c>
      <c r="AF202" s="264">
        <f t="shared" si="140"/>
        <v>0.93581577658010784</v>
      </c>
      <c r="AG202" s="264">
        <f t="shared" si="141"/>
        <v>0.93581577658010784</v>
      </c>
      <c r="AH202" s="264">
        <f t="shared" si="142"/>
        <v>0.93581577658010784</v>
      </c>
      <c r="AI202" s="265">
        <f t="shared" si="147"/>
        <v>1.8580725129619502</v>
      </c>
      <c r="AJ202" s="266">
        <f t="shared" si="148"/>
        <v>22.296870155543402</v>
      </c>
      <c r="AK202" s="45"/>
      <c r="AL202" s="266"/>
      <c r="AN202" s="241">
        <v>1</v>
      </c>
      <c r="AO202" s="240">
        <f t="shared" si="143"/>
        <v>1.8580725129619502</v>
      </c>
      <c r="AP202" s="241">
        <v>0</v>
      </c>
      <c r="AQ202" s="240">
        <f t="shared" si="144"/>
        <v>0</v>
      </c>
      <c r="AR202" s="241">
        <v>0</v>
      </c>
      <c r="AS202" s="240">
        <f t="shared" si="145"/>
        <v>0</v>
      </c>
      <c r="AT202" s="241">
        <v>0</v>
      </c>
      <c r="AU202" s="240">
        <f t="shared" si="130"/>
        <v>0</v>
      </c>
    </row>
    <row r="203" spans="2:47" s="253" customFormat="1" x14ac:dyDescent="0.2">
      <c r="B203" s="241" t="str">
        <f t="shared" si="126"/>
        <v>VanccommercialVCA96W</v>
      </c>
      <c r="C203" s="232" t="s">
        <v>842</v>
      </c>
      <c r="D203" s="232" t="s">
        <v>871</v>
      </c>
      <c r="E203" s="238">
        <v>76.38</v>
      </c>
      <c r="F203" s="238">
        <v>76.38</v>
      </c>
      <c r="G203" s="238">
        <v>81.63</v>
      </c>
      <c r="H203" s="261"/>
      <c r="I203" s="243">
        <v>27554.080000000002</v>
      </c>
      <c r="J203" s="243">
        <v>27611.32</v>
      </c>
      <c r="K203" s="243">
        <v>27993.26</v>
      </c>
      <c r="L203" s="243">
        <v>27573.14</v>
      </c>
      <c r="M203" s="243">
        <v>28203.309999999998</v>
      </c>
      <c r="N203" s="243">
        <v>28317.97</v>
      </c>
      <c r="O203" s="243">
        <v>29062.6</v>
      </c>
      <c r="P203" s="243">
        <v>29119.9</v>
      </c>
      <c r="Q203" s="243">
        <v>29349.02</v>
      </c>
      <c r="R203" s="243">
        <v>31509.19</v>
      </c>
      <c r="S203" s="243">
        <v>31816.35</v>
      </c>
      <c r="T203" s="243">
        <v>31794.920000000002</v>
      </c>
      <c r="U203" s="263">
        <f t="shared" si="146"/>
        <v>349905.05999999994</v>
      </c>
      <c r="W203" s="264">
        <f t="shared" si="131"/>
        <v>360.74993453783719</v>
      </c>
      <c r="X203" s="264">
        <f t="shared" si="132"/>
        <v>361.49934537837134</v>
      </c>
      <c r="Y203" s="264">
        <f t="shared" si="133"/>
        <v>366.49986907567427</v>
      </c>
      <c r="Z203" s="264">
        <f t="shared" si="134"/>
        <v>360.99947630269708</v>
      </c>
      <c r="AA203" s="264">
        <f t="shared" si="135"/>
        <v>369.24993453783713</v>
      </c>
      <c r="AB203" s="264">
        <f t="shared" si="136"/>
        <v>370.75111285676883</v>
      </c>
      <c r="AC203" s="264">
        <f t="shared" si="137"/>
        <v>380.50013092432573</v>
      </c>
      <c r="AD203" s="264">
        <f t="shared" si="138"/>
        <v>381.25032731081438</v>
      </c>
      <c r="AE203" s="264">
        <f t="shared" si="139"/>
        <v>384.25006546216292</v>
      </c>
      <c r="AF203" s="264">
        <f t="shared" si="140"/>
        <v>386.0001225039814</v>
      </c>
      <c r="AG203" s="264">
        <f t="shared" si="141"/>
        <v>389.7629547960309</v>
      </c>
      <c r="AH203" s="264">
        <f t="shared" si="142"/>
        <v>389.50042876393485</v>
      </c>
      <c r="AI203" s="265">
        <f t="shared" si="147"/>
        <v>375.08447520420304</v>
      </c>
      <c r="AJ203" s="266">
        <f t="shared" si="148"/>
        <v>4501.0137024504365</v>
      </c>
      <c r="AK203" s="45"/>
      <c r="AL203" s="266"/>
      <c r="AN203" s="241">
        <v>1</v>
      </c>
      <c r="AO203" s="240">
        <f t="shared" si="143"/>
        <v>375.08447520420304</v>
      </c>
      <c r="AP203" s="241">
        <v>0</v>
      </c>
      <c r="AQ203" s="240">
        <f t="shared" si="144"/>
        <v>0</v>
      </c>
      <c r="AR203" s="241">
        <v>0</v>
      </c>
      <c r="AS203" s="240">
        <f t="shared" si="145"/>
        <v>0</v>
      </c>
      <c r="AT203" s="241">
        <v>0</v>
      </c>
      <c r="AU203" s="240">
        <f t="shared" si="130"/>
        <v>0</v>
      </c>
    </row>
    <row r="204" spans="2:47" s="253" customFormat="1" x14ac:dyDescent="0.2">
      <c r="B204" s="241" t="str">
        <f t="shared" ref="B204:B209" si="149">"Vanc"&amp;"commercial"&amp;C204</f>
        <v>VanccommercialCCTP1Y</v>
      </c>
      <c r="C204" s="232" t="s">
        <v>158</v>
      </c>
      <c r="D204" s="232" t="s">
        <v>261</v>
      </c>
      <c r="E204" s="238">
        <v>39.17</v>
      </c>
      <c r="F204" s="238">
        <v>39.17</v>
      </c>
      <c r="G204" s="238">
        <v>41.56</v>
      </c>
      <c r="H204" s="261"/>
      <c r="I204" s="243">
        <v>0</v>
      </c>
      <c r="J204" s="243">
        <v>0</v>
      </c>
      <c r="K204" s="243">
        <v>0</v>
      </c>
      <c r="L204" s="243">
        <v>0</v>
      </c>
      <c r="M204" s="243">
        <v>39.17</v>
      </c>
      <c r="N204" s="243">
        <v>0</v>
      </c>
      <c r="O204" s="243">
        <v>0</v>
      </c>
      <c r="P204" s="243">
        <v>0</v>
      </c>
      <c r="Q204" s="243">
        <v>0</v>
      </c>
      <c r="R204" s="243">
        <v>0</v>
      </c>
      <c r="S204" s="243">
        <v>0</v>
      </c>
      <c r="T204" s="243">
        <v>0</v>
      </c>
      <c r="U204" s="263">
        <f t="shared" si="146"/>
        <v>39.17</v>
      </c>
      <c r="W204" s="264">
        <f t="shared" si="131"/>
        <v>0</v>
      </c>
      <c r="X204" s="264">
        <f t="shared" si="132"/>
        <v>0</v>
      </c>
      <c r="Y204" s="264">
        <f t="shared" si="133"/>
        <v>0</v>
      </c>
      <c r="Z204" s="264">
        <f t="shared" si="134"/>
        <v>0</v>
      </c>
      <c r="AA204" s="264">
        <f t="shared" si="135"/>
        <v>1</v>
      </c>
      <c r="AB204" s="264">
        <f t="shared" si="136"/>
        <v>0</v>
      </c>
      <c r="AC204" s="264">
        <f t="shared" si="137"/>
        <v>0</v>
      </c>
      <c r="AD204" s="264">
        <f t="shared" si="138"/>
        <v>0</v>
      </c>
      <c r="AE204" s="264">
        <f t="shared" si="139"/>
        <v>0</v>
      </c>
      <c r="AF204" s="264">
        <f t="shared" si="140"/>
        <v>0</v>
      </c>
      <c r="AG204" s="264">
        <f t="shared" si="141"/>
        <v>0</v>
      </c>
      <c r="AH204" s="264">
        <f t="shared" si="142"/>
        <v>0</v>
      </c>
      <c r="AI204" s="265">
        <f t="shared" si="147"/>
        <v>8.3333333333333329E-2</v>
      </c>
      <c r="AJ204" s="266">
        <f t="shared" si="148"/>
        <v>1</v>
      </c>
      <c r="AK204" s="45"/>
      <c r="AL204" s="266"/>
      <c r="AN204" s="241">
        <v>0</v>
      </c>
      <c r="AO204" s="240">
        <f t="shared" si="143"/>
        <v>0</v>
      </c>
      <c r="AP204" s="241">
        <v>1</v>
      </c>
      <c r="AQ204" s="240">
        <f t="shared" si="144"/>
        <v>8.3333333333333329E-2</v>
      </c>
      <c r="AR204" s="241">
        <v>0</v>
      </c>
      <c r="AS204" s="240">
        <f t="shared" si="145"/>
        <v>0</v>
      </c>
      <c r="AT204" s="241">
        <v>0</v>
      </c>
      <c r="AU204" s="240">
        <f t="shared" si="130"/>
        <v>0</v>
      </c>
    </row>
    <row r="205" spans="2:47" s="253" customFormat="1" x14ac:dyDescent="0.2">
      <c r="B205" s="241" t="str">
        <f t="shared" si="149"/>
        <v>VanccommercialCCTP15Y</v>
      </c>
      <c r="C205" s="250" t="s">
        <v>159</v>
      </c>
      <c r="D205" s="232" t="s">
        <v>262</v>
      </c>
      <c r="E205" s="238">
        <v>49.12</v>
      </c>
      <c r="F205" s="238">
        <v>49.12</v>
      </c>
      <c r="G205" s="238">
        <v>52.19</v>
      </c>
      <c r="H205" s="261"/>
      <c r="I205" s="243">
        <v>49.12</v>
      </c>
      <c r="J205" s="243">
        <v>0</v>
      </c>
      <c r="K205" s="243">
        <v>0</v>
      </c>
      <c r="L205" s="243">
        <v>0</v>
      </c>
      <c r="M205" s="243">
        <v>49.12</v>
      </c>
      <c r="N205" s="243">
        <v>0</v>
      </c>
      <c r="O205" s="243">
        <v>0</v>
      </c>
      <c r="P205" s="243">
        <v>0</v>
      </c>
      <c r="Q205" s="243">
        <v>0</v>
      </c>
      <c r="R205" s="243">
        <v>0</v>
      </c>
      <c r="S205" s="243">
        <v>0</v>
      </c>
      <c r="T205" s="243">
        <v>0</v>
      </c>
      <c r="U205" s="263">
        <f t="shared" si="146"/>
        <v>98.24</v>
      </c>
      <c r="W205" s="264">
        <f t="shared" si="131"/>
        <v>1</v>
      </c>
      <c r="X205" s="264">
        <f t="shared" si="132"/>
        <v>0</v>
      </c>
      <c r="Y205" s="264">
        <f t="shared" si="133"/>
        <v>0</v>
      </c>
      <c r="Z205" s="264">
        <f t="shared" si="134"/>
        <v>0</v>
      </c>
      <c r="AA205" s="264">
        <f t="shared" si="135"/>
        <v>1</v>
      </c>
      <c r="AB205" s="264">
        <f t="shared" si="136"/>
        <v>0</v>
      </c>
      <c r="AC205" s="264">
        <f t="shared" si="137"/>
        <v>0</v>
      </c>
      <c r="AD205" s="264">
        <f t="shared" si="138"/>
        <v>0</v>
      </c>
      <c r="AE205" s="264">
        <f t="shared" si="139"/>
        <v>0</v>
      </c>
      <c r="AF205" s="264">
        <f t="shared" si="140"/>
        <v>0</v>
      </c>
      <c r="AG205" s="264">
        <f t="shared" si="141"/>
        <v>0</v>
      </c>
      <c r="AH205" s="264">
        <f t="shared" si="142"/>
        <v>0</v>
      </c>
      <c r="AI205" s="265">
        <f t="shared" si="147"/>
        <v>0.16666666666666666</v>
      </c>
      <c r="AJ205" s="266">
        <f t="shared" si="148"/>
        <v>2</v>
      </c>
      <c r="AK205" s="45"/>
      <c r="AL205" s="266"/>
      <c r="AN205" s="241">
        <v>0</v>
      </c>
      <c r="AO205" s="240">
        <f t="shared" si="143"/>
        <v>0</v>
      </c>
      <c r="AP205" s="241">
        <v>1</v>
      </c>
      <c r="AQ205" s="240">
        <f t="shared" si="144"/>
        <v>0.16666666666666666</v>
      </c>
      <c r="AR205" s="241">
        <v>0</v>
      </c>
      <c r="AS205" s="240">
        <f t="shared" si="145"/>
        <v>0</v>
      </c>
      <c r="AT205" s="241">
        <v>0</v>
      </c>
      <c r="AU205" s="240">
        <f t="shared" si="130"/>
        <v>0</v>
      </c>
    </row>
    <row r="206" spans="2:47" s="253" customFormat="1" x14ac:dyDescent="0.2">
      <c r="B206" s="241" t="str">
        <f t="shared" si="149"/>
        <v>VanccommercialCCTP2Y</v>
      </c>
      <c r="C206" s="232" t="s">
        <v>160</v>
      </c>
      <c r="D206" s="232" t="s">
        <v>263</v>
      </c>
      <c r="E206" s="238">
        <v>59.06</v>
      </c>
      <c r="F206" s="238">
        <v>59.06</v>
      </c>
      <c r="G206" s="238">
        <v>62.81</v>
      </c>
      <c r="H206" s="261"/>
      <c r="I206" s="243">
        <v>59.06</v>
      </c>
      <c r="J206" s="243">
        <v>0</v>
      </c>
      <c r="K206" s="243">
        <v>0</v>
      </c>
      <c r="L206" s="243">
        <v>0</v>
      </c>
      <c r="M206" s="243">
        <v>59.06</v>
      </c>
      <c r="N206" s="243">
        <v>0</v>
      </c>
      <c r="O206" s="243">
        <v>0</v>
      </c>
      <c r="P206" s="243">
        <v>59.06</v>
      </c>
      <c r="Q206" s="243">
        <v>0</v>
      </c>
      <c r="R206" s="243">
        <v>62.81</v>
      </c>
      <c r="S206" s="243">
        <v>0</v>
      </c>
      <c r="T206" s="243">
        <v>0</v>
      </c>
      <c r="U206" s="263">
        <f t="shared" si="146"/>
        <v>239.99</v>
      </c>
      <c r="W206" s="264">
        <f t="shared" si="131"/>
        <v>1</v>
      </c>
      <c r="X206" s="264">
        <f t="shared" si="132"/>
        <v>0</v>
      </c>
      <c r="Y206" s="264">
        <f t="shared" si="133"/>
        <v>0</v>
      </c>
      <c r="Z206" s="264">
        <f t="shared" si="134"/>
        <v>0</v>
      </c>
      <c r="AA206" s="264">
        <f t="shared" si="135"/>
        <v>1</v>
      </c>
      <c r="AB206" s="264">
        <f t="shared" si="136"/>
        <v>0</v>
      </c>
      <c r="AC206" s="264">
        <f t="shared" si="137"/>
        <v>0</v>
      </c>
      <c r="AD206" s="264">
        <f t="shared" si="138"/>
        <v>1</v>
      </c>
      <c r="AE206" s="264">
        <f t="shared" si="139"/>
        <v>0</v>
      </c>
      <c r="AF206" s="264">
        <f t="shared" si="140"/>
        <v>1</v>
      </c>
      <c r="AG206" s="264">
        <f t="shared" si="141"/>
        <v>0</v>
      </c>
      <c r="AH206" s="264">
        <f t="shared" si="142"/>
        <v>0</v>
      </c>
      <c r="AI206" s="265">
        <f t="shared" si="147"/>
        <v>0.33333333333333331</v>
      </c>
      <c r="AJ206" s="266">
        <f t="shared" si="148"/>
        <v>4</v>
      </c>
      <c r="AK206" s="45"/>
      <c r="AL206" s="266"/>
      <c r="AN206" s="241">
        <v>0</v>
      </c>
      <c r="AO206" s="240">
        <f t="shared" si="143"/>
        <v>0</v>
      </c>
      <c r="AP206" s="241">
        <v>1</v>
      </c>
      <c r="AQ206" s="240">
        <f t="shared" si="144"/>
        <v>0.33333333333333331</v>
      </c>
      <c r="AR206" s="241">
        <v>0</v>
      </c>
      <c r="AS206" s="240">
        <f t="shared" si="145"/>
        <v>0</v>
      </c>
      <c r="AT206" s="241">
        <v>0</v>
      </c>
      <c r="AU206" s="240">
        <f t="shared" si="130"/>
        <v>0</v>
      </c>
    </row>
    <row r="207" spans="2:47" s="253" customFormat="1" x14ac:dyDescent="0.2">
      <c r="B207" s="241" t="str">
        <f t="shared" si="149"/>
        <v>VanccommercialCCTP3Y</v>
      </c>
      <c r="C207" s="232" t="s">
        <v>161</v>
      </c>
      <c r="D207" s="232" t="s">
        <v>264</v>
      </c>
      <c r="E207" s="238">
        <v>78.95</v>
      </c>
      <c r="F207" s="238">
        <v>78.95</v>
      </c>
      <c r="G207" s="238">
        <v>84.06</v>
      </c>
      <c r="H207" s="261"/>
      <c r="I207" s="243">
        <v>0</v>
      </c>
      <c r="J207" s="243">
        <v>0</v>
      </c>
      <c r="K207" s="243">
        <v>0</v>
      </c>
      <c r="L207" s="243">
        <v>0</v>
      </c>
      <c r="M207" s="243">
        <v>0</v>
      </c>
      <c r="N207" s="243">
        <v>78.95</v>
      </c>
      <c r="O207" s="243">
        <v>78.95</v>
      </c>
      <c r="P207" s="243">
        <v>0</v>
      </c>
      <c r="Q207" s="243">
        <v>78.95</v>
      </c>
      <c r="R207" s="243">
        <v>0</v>
      </c>
      <c r="S207" s="243">
        <v>0</v>
      </c>
      <c r="T207" s="243">
        <v>0</v>
      </c>
      <c r="U207" s="263">
        <f>SUM(I207:T207)</f>
        <v>236.85000000000002</v>
      </c>
      <c r="W207" s="264">
        <f t="shared" si="131"/>
        <v>0</v>
      </c>
      <c r="X207" s="264">
        <f t="shared" si="132"/>
        <v>0</v>
      </c>
      <c r="Y207" s="264">
        <f t="shared" si="133"/>
        <v>0</v>
      </c>
      <c r="Z207" s="264">
        <f t="shared" si="134"/>
        <v>0</v>
      </c>
      <c r="AA207" s="264">
        <f t="shared" si="135"/>
        <v>0</v>
      </c>
      <c r="AB207" s="264">
        <f t="shared" si="136"/>
        <v>1</v>
      </c>
      <c r="AC207" s="264">
        <f t="shared" si="137"/>
        <v>1</v>
      </c>
      <c r="AD207" s="264">
        <f t="shared" si="138"/>
        <v>0</v>
      </c>
      <c r="AE207" s="264">
        <f t="shared" si="139"/>
        <v>1</v>
      </c>
      <c r="AF207" s="264">
        <f t="shared" si="140"/>
        <v>0</v>
      </c>
      <c r="AG207" s="264">
        <f t="shared" si="141"/>
        <v>0</v>
      </c>
      <c r="AH207" s="264">
        <f t="shared" si="142"/>
        <v>0</v>
      </c>
      <c r="AI207" s="265">
        <f>+IFERROR(AVERAGE(W207:AH207),0)</f>
        <v>0.25</v>
      </c>
      <c r="AJ207" s="266">
        <f>SUM(W207:AH207)</f>
        <v>3</v>
      </c>
      <c r="AK207" s="45"/>
      <c r="AL207" s="266"/>
      <c r="AN207" s="241">
        <v>0</v>
      </c>
      <c r="AO207" s="240">
        <f t="shared" si="143"/>
        <v>0</v>
      </c>
      <c r="AP207" s="241">
        <v>1</v>
      </c>
      <c r="AQ207" s="240">
        <f t="shared" si="144"/>
        <v>0.25</v>
      </c>
      <c r="AR207" s="241">
        <v>0</v>
      </c>
      <c r="AS207" s="240">
        <f t="shared" si="145"/>
        <v>0</v>
      </c>
      <c r="AT207" s="241">
        <v>0</v>
      </c>
      <c r="AU207" s="240">
        <f>+$AI207*AT207</f>
        <v>0</v>
      </c>
    </row>
    <row r="208" spans="2:47" s="253" customFormat="1" x14ac:dyDescent="0.2">
      <c r="B208" s="241" t="str">
        <f t="shared" si="149"/>
        <v>VanccommercialCCTP4Y</v>
      </c>
      <c r="C208" s="232" t="s">
        <v>162</v>
      </c>
      <c r="D208" s="232" t="s">
        <v>265</v>
      </c>
      <c r="E208" s="238">
        <v>98.84</v>
      </c>
      <c r="F208" s="238">
        <v>98.84</v>
      </c>
      <c r="G208" s="238">
        <v>105.31</v>
      </c>
      <c r="H208" s="261"/>
      <c r="I208" s="243">
        <v>0</v>
      </c>
      <c r="J208" s="243">
        <v>0</v>
      </c>
      <c r="K208" s="243">
        <v>0</v>
      </c>
      <c r="L208" s="243">
        <v>0</v>
      </c>
      <c r="M208" s="243">
        <v>0</v>
      </c>
      <c r="N208" s="243">
        <v>0</v>
      </c>
      <c r="O208" s="243">
        <v>0</v>
      </c>
      <c r="P208" s="243">
        <v>0</v>
      </c>
      <c r="Q208" s="243">
        <v>0</v>
      </c>
      <c r="R208" s="243">
        <v>0</v>
      </c>
      <c r="S208" s="243">
        <v>0</v>
      </c>
      <c r="T208" s="243">
        <v>0</v>
      </c>
      <c r="U208" s="263">
        <f t="shared" si="146"/>
        <v>0</v>
      </c>
      <c r="W208" s="264">
        <f t="shared" si="131"/>
        <v>0</v>
      </c>
      <c r="X208" s="264">
        <f t="shared" si="132"/>
        <v>0</v>
      </c>
      <c r="Y208" s="264">
        <f t="shared" si="133"/>
        <v>0</v>
      </c>
      <c r="Z208" s="264">
        <f t="shared" si="134"/>
        <v>0</v>
      </c>
      <c r="AA208" s="264">
        <f t="shared" si="135"/>
        <v>0</v>
      </c>
      <c r="AB208" s="264">
        <f t="shared" si="136"/>
        <v>0</v>
      </c>
      <c r="AC208" s="264">
        <f t="shared" si="137"/>
        <v>0</v>
      </c>
      <c r="AD208" s="264">
        <f t="shared" si="138"/>
        <v>0</v>
      </c>
      <c r="AE208" s="264">
        <f t="shared" si="139"/>
        <v>0</v>
      </c>
      <c r="AF208" s="264">
        <f t="shared" si="140"/>
        <v>0</v>
      </c>
      <c r="AG208" s="264">
        <f t="shared" si="141"/>
        <v>0</v>
      </c>
      <c r="AH208" s="264">
        <f t="shared" si="142"/>
        <v>0</v>
      </c>
      <c r="AI208" s="265">
        <f t="shared" si="147"/>
        <v>0</v>
      </c>
      <c r="AJ208" s="266">
        <f t="shared" si="148"/>
        <v>0</v>
      </c>
      <c r="AK208" s="45"/>
      <c r="AL208" s="266"/>
      <c r="AN208" s="241">
        <v>0</v>
      </c>
      <c r="AO208" s="240">
        <f t="shared" si="143"/>
        <v>0</v>
      </c>
      <c r="AP208" s="241">
        <v>1</v>
      </c>
      <c r="AQ208" s="240">
        <f t="shared" si="144"/>
        <v>0</v>
      </c>
      <c r="AR208" s="241">
        <v>0</v>
      </c>
      <c r="AS208" s="240">
        <f t="shared" si="145"/>
        <v>0</v>
      </c>
      <c r="AT208" s="241">
        <v>0</v>
      </c>
      <c r="AU208" s="240">
        <f t="shared" si="130"/>
        <v>0</v>
      </c>
    </row>
    <row r="209" spans="2:47" s="253" customFormat="1" x14ac:dyDescent="0.2">
      <c r="B209" s="241" t="str">
        <f t="shared" si="149"/>
        <v>VanccommercialCCTP8Y</v>
      </c>
      <c r="C209" s="250" t="s">
        <v>164</v>
      </c>
      <c r="D209" s="232" t="s">
        <v>267</v>
      </c>
      <c r="E209" s="238">
        <v>178.4</v>
      </c>
      <c r="F209" s="238">
        <v>178.4</v>
      </c>
      <c r="G209" s="238">
        <v>190.31</v>
      </c>
      <c r="H209" s="261"/>
      <c r="I209" s="243">
        <v>0</v>
      </c>
      <c r="J209" s="243">
        <v>0</v>
      </c>
      <c r="K209" s="243">
        <v>0</v>
      </c>
      <c r="L209" s="243">
        <v>0</v>
      </c>
      <c r="M209" s="243">
        <v>0</v>
      </c>
      <c r="N209" s="243">
        <v>0</v>
      </c>
      <c r="O209" s="243">
        <v>0</v>
      </c>
      <c r="P209" s="243">
        <v>0</v>
      </c>
      <c r="Q209" s="243">
        <v>0</v>
      </c>
      <c r="R209" s="243">
        <v>0</v>
      </c>
      <c r="S209" s="243">
        <v>0</v>
      </c>
      <c r="T209" s="243">
        <v>0</v>
      </c>
      <c r="U209" s="263">
        <f t="shared" si="146"/>
        <v>0</v>
      </c>
      <c r="W209" s="264">
        <f t="shared" si="131"/>
        <v>0</v>
      </c>
      <c r="X209" s="264">
        <f t="shared" si="132"/>
        <v>0</v>
      </c>
      <c r="Y209" s="264">
        <f t="shared" si="133"/>
        <v>0</v>
      </c>
      <c r="Z209" s="264">
        <f t="shared" si="134"/>
        <v>0</v>
      </c>
      <c r="AA209" s="264">
        <f t="shared" si="135"/>
        <v>0</v>
      </c>
      <c r="AB209" s="264">
        <f t="shared" si="136"/>
        <v>0</v>
      </c>
      <c r="AC209" s="264">
        <f t="shared" si="137"/>
        <v>0</v>
      </c>
      <c r="AD209" s="264">
        <f t="shared" si="138"/>
        <v>0</v>
      </c>
      <c r="AE209" s="264">
        <f t="shared" si="139"/>
        <v>0</v>
      </c>
      <c r="AF209" s="264">
        <f t="shared" si="140"/>
        <v>0</v>
      </c>
      <c r="AG209" s="264">
        <f t="shared" si="141"/>
        <v>0</v>
      </c>
      <c r="AH209" s="264">
        <f t="shared" si="142"/>
        <v>0</v>
      </c>
      <c r="AI209" s="265">
        <f t="shared" si="147"/>
        <v>0</v>
      </c>
      <c r="AJ209" s="266">
        <f t="shared" si="148"/>
        <v>0</v>
      </c>
      <c r="AK209" s="45"/>
      <c r="AL209" s="266"/>
      <c r="AN209" s="241">
        <v>0</v>
      </c>
      <c r="AO209" s="240">
        <f t="shared" si="143"/>
        <v>0</v>
      </c>
      <c r="AP209" s="241">
        <v>1</v>
      </c>
      <c r="AQ209" s="240">
        <f t="shared" si="144"/>
        <v>0</v>
      </c>
      <c r="AR209" s="241">
        <v>0</v>
      </c>
      <c r="AS209" s="240">
        <f t="shared" si="145"/>
        <v>0</v>
      </c>
      <c r="AT209" s="241">
        <v>0</v>
      </c>
      <c r="AU209" s="240">
        <f t="shared" si="130"/>
        <v>0</v>
      </c>
    </row>
    <row r="210" spans="2:47" s="45" customFormat="1" x14ac:dyDescent="0.2">
      <c r="B210" s="1" t="str">
        <f t="shared" ref="B210:B220" si="150">"Vanc"&amp;"commercial"&amp;C210</f>
        <v>VanccommercialCCSP15Y</v>
      </c>
      <c r="C210" s="58" t="s">
        <v>151</v>
      </c>
      <c r="D210" s="58" t="s">
        <v>254</v>
      </c>
      <c r="E210" s="11">
        <v>49.12</v>
      </c>
      <c r="F210" s="11">
        <v>49.12</v>
      </c>
      <c r="G210" s="11">
        <v>52.19</v>
      </c>
      <c r="H210" s="55"/>
      <c r="I210" s="14">
        <v>49.12</v>
      </c>
      <c r="J210" s="14">
        <v>49.12</v>
      </c>
      <c r="K210" s="14">
        <v>49.12</v>
      </c>
      <c r="L210" s="14">
        <v>0</v>
      </c>
      <c r="M210" s="14">
        <v>0</v>
      </c>
      <c r="N210" s="14">
        <v>0</v>
      </c>
      <c r="O210" s="14">
        <v>0</v>
      </c>
      <c r="P210" s="14">
        <v>0</v>
      </c>
      <c r="Q210" s="14">
        <v>0</v>
      </c>
      <c r="R210" s="14">
        <v>0</v>
      </c>
      <c r="S210" s="14">
        <v>52.19</v>
      </c>
      <c r="T210" s="14">
        <v>52.19</v>
      </c>
      <c r="U210" s="73">
        <f t="shared" si="146"/>
        <v>251.73999999999998</v>
      </c>
      <c r="W210" s="49">
        <f t="shared" si="131"/>
        <v>1</v>
      </c>
      <c r="X210" s="49">
        <f t="shared" si="132"/>
        <v>1</v>
      </c>
      <c r="Y210" s="49">
        <f t="shared" si="133"/>
        <v>1</v>
      </c>
      <c r="Z210" s="49">
        <f t="shared" si="134"/>
        <v>0</v>
      </c>
      <c r="AA210" s="49">
        <f t="shared" si="135"/>
        <v>0</v>
      </c>
      <c r="AB210" s="49">
        <f t="shared" si="136"/>
        <v>0</v>
      </c>
      <c r="AC210" s="49">
        <f t="shared" si="137"/>
        <v>0</v>
      </c>
      <c r="AD210" s="49">
        <f t="shared" si="138"/>
        <v>0</v>
      </c>
      <c r="AE210" s="49">
        <f t="shared" si="139"/>
        <v>0</v>
      </c>
      <c r="AF210" s="49">
        <f t="shared" si="140"/>
        <v>0</v>
      </c>
      <c r="AG210" s="49">
        <f t="shared" si="141"/>
        <v>1</v>
      </c>
      <c r="AH210" s="49">
        <f t="shared" si="142"/>
        <v>1</v>
      </c>
      <c r="AI210" s="47">
        <f t="shared" si="147"/>
        <v>0.41666666666666669</v>
      </c>
      <c r="AJ210" s="134">
        <f t="shared" si="148"/>
        <v>5</v>
      </c>
      <c r="AL210" s="134"/>
    </row>
    <row r="211" spans="2:47" s="45" customFormat="1" x14ac:dyDescent="0.2">
      <c r="B211" s="1" t="str">
        <f t="shared" si="150"/>
        <v>VanccommercialCCSP1Y</v>
      </c>
      <c r="C211" s="58" t="s">
        <v>150</v>
      </c>
      <c r="D211" s="58" t="s">
        <v>253</v>
      </c>
      <c r="E211" s="11">
        <v>39.17</v>
      </c>
      <c r="F211" s="11">
        <v>39.17</v>
      </c>
      <c r="G211" s="11">
        <v>41.56</v>
      </c>
      <c r="H211" s="55"/>
      <c r="I211" s="14">
        <v>78.34</v>
      </c>
      <c r="J211" s="14">
        <v>117.51</v>
      </c>
      <c r="K211" s="14">
        <v>39.17</v>
      </c>
      <c r="L211" s="14">
        <v>0</v>
      </c>
      <c r="M211" s="14">
        <v>0</v>
      </c>
      <c r="N211" s="14">
        <v>78.34</v>
      </c>
      <c r="O211" s="14">
        <v>0</v>
      </c>
      <c r="P211" s="14">
        <v>39.17</v>
      </c>
      <c r="Q211" s="14">
        <v>39.17</v>
      </c>
      <c r="R211" s="14">
        <v>0</v>
      </c>
      <c r="S211" s="14">
        <v>0</v>
      </c>
      <c r="T211" s="14">
        <v>0</v>
      </c>
      <c r="U211" s="73">
        <f t="shared" si="146"/>
        <v>391.70000000000005</v>
      </c>
      <c r="W211" s="49">
        <f t="shared" si="131"/>
        <v>2</v>
      </c>
      <c r="X211" s="49">
        <f t="shared" si="132"/>
        <v>3</v>
      </c>
      <c r="Y211" s="49">
        <f t="shared" si="133"/>
        <v>1</v>
      </c>
      <c r="Z211" s="49">
        <f t="shared" si="134"/>
        <v>0</v>
      </c>
      <c r="AA211" s="49">
        <f t="shared" si="135"/>
        <v>0</v>
      </c>
      <c r="AB211" s="49">
        <f t="shared" si="136"/>
        <v>2</v>
      </c>
      <c r="AC211" s="49">
        <f t="shared" si="137"/>
        <v>0</v>
      </c>
      <c r="AD211" s="49">
        <f t="shared" si="138"/>
        <v>1</v>
      </c>
      <c r="AE211" s="49">
        <f t="shared" si="139"/>
        <v>1</v>
      </c>
      <c r="AF211" s="49">
        <f t="shared" si="140"/>
        <v>0</v>
      </c>
      <c r="AG211" s="49">
        <f t="shared" si="141"/>
        <v>0</v>
      </c>
      <c r="AH211" s="49">
        <f t="shared" si="142"/>
        <v>0</v>
      </c>
      <c r="AI211" s="47">
        <f t="shared" si="147"/>
        <v>0.83333333333333337</v>
      </c>
      <c r="AJ211" s="134">
        <f t="shared" si="148"/>
        <v>10</v>
      </c>
      <c r="AL211" s="134"/>
    </row>
    <row r="212" spans="2:47" s="45" customFormat="1" x14ac:dyDescent="0.2">
      <c r="B212" s="1" t="str">
        <f t="shared" si="150"/>
        <v>VanccommercialCCSP2Y</v>
      </c>
      <c r="C212" s="58" t="s">
        <v>152</v>
      </c>
      <c r="D212" s="58" t="s">
        <v>255</v>
      </c>
      <c r="E212" s="11">
        <v>58.06</v>
      </c>
      <c r="F212" s="11">
        <v>58.06</v>
      </c>
      <c r="G212" s="11">
        <v>62.81</v>
      </c>
      <c r="H212" s="55"/>
      <c r="I212" s="14">
        <v>174.18</v>
      </c>
      <c r="J212" s="14">
        <v>-58.06</v>
      </c>
      <c r="K212" s="14">
        <v>172.24</v>
      </c>
      <c r="L212" s="14">
        <v>232.24</v>
      </c>
      <c r="M212" s="14">
        <v>348.36</v>
      </c>
      <c r="N212" s="14">
        <v>116.12</v>
      </c>
      <c r="O212" s="14">
        <v>58.06</v>
      </c>
      <c r="P212" s="14">
        <v>116.12</v>
      </c>
      <c r="Q212" s="14">
        <v>58.06</v>
      </c>
      <c r="R212" s="14">
        <v>188.43</v>
      </c>
      <c r="S212" s="14">
        <v>125.62</v>
      </c>
      <c r="T212" s="14">
        <v>62.81</v>
      </c>
      <c r="U212" s="73">
        <f t="shared" si="146"/>
        <v>1594.1800000000003</v>
      </c>
      <c r="W212" s="49">
        <f t="shared" si="131"/>
        <v>3</v>
      </c>
      <c r="X212" s="49">
        <f t="shared" si="132"/>
        <v>-1</v>
      </c>
      <c r="Y212" s="49">
        <f t="shared" si="133"/>
        <v>2.9665862900447815</v>
      </c>
      <c r="Z212" s="49">
        <f t="shared" si="134"/>
        <v>4</v>
      </c>
      <c r="AA212" s="49">
        <f t="shared" si="135"/>
        <v>6</v>
      </c>
      <c r="AB212" s="49">
        <f t="shared" si="136"/>
        <v>2</v>
      </c>
      <c r="AC212" s="49">
        <f t="shared" si="137"/>
        <v>1</v>
      </c>
      <c r="AD212" s="49">
        <f t="shared" si="138"/>
        <v>2</v>
      </c>
      <c r="AE212" s="49">
        <f t="shared" si="139"/>
        <v>1</v>
      </c>
      <c r="AF212" s="49">
        <f t="shared" si="140"/>
        <v>3</v>
      </c>
      <c r="AG212" s="49">
        <f t="shared" si="141"/>
        <v>2</v>
      </c>
      <c r="AH212" s="49">
        <f t="shared" si="142"/>
        <v>1</v>
      </c>
      <c r="AI212" s="47">
        <f t="shared" si="147"/>
        <v>2.2472155241703984</v>
      </c>
      <c r="AJ212" s="134">
        <f t="shared" si="148"/>
        <v>26.966586290044781</v>
      </c>
      <c r="AL212" s="134"/>
    </row>
    <row r="213" spans="2:47" s="45" customFormat="1" x14ac:dyDescent="0.2">
      <c r="B213" s="1" t="str">
        <f t="shared" si="150"/>
        <v>VanccommercialVCSP3YC</v>
      </c>
      <c r="C213" s="58" t="s">
        <v>849</v>
      </c>
      <c r="D213" s="58" t="s">
        <v>876</v>
      </c>
      <c r="E213" s="11">
        <v>198.96</v>
      </c>
      <c r="F213" s="11">
        <v>198.96</v>
      </c>
      <c r="G213" s="11">
        <v>212.69</v>
      </c>
      <c r="H213" s="55"/>
      <c r="I213" s="14">
        <v>0</v>
      </c>
      <c r="J213" s="14">
        <v>0</v>
      </c>
      <c r="K213" s="14">
        <v>0</v>
      </c>
      <c r="L213" s="14">
        <v>0</v>
      </c>
      <c r="M213" s="14">
        <v>0</v>
      </c>
      <c r="N213" s="14">
        <v>0</v>
      </c>
      <c r="O213" s="14">
        <v>0</v>
      </c>
      <c r="P213" s="14">
        <v>0</v>
      </c>
      <c r="Q213" s="14">
        <v>0</v>
      </c>
      <c r="R213" s="14">
        <v>0</v>
      </c>
      <c r="S213" s="14">
        <v>0</v>
      </c>
      <c r="T213" s="14">
        <v>0</v>
      </c>
      <c r="U213" s="73">
        <f t="shared" si="146"/>
        <v>0</v>
      </c>
      <c r="W213" s="49">
        <f t="shared" si="131"/>
        <v>0</v>
      </c>
      <c r="X213" s="49">
        <f t="shared" si="132"/>
        <v>0</v>
      </c>
      <c r="Y213" s="49">
        <f t="shared" si="133"/>
        <v>0</v>
      </c>
      <c r="Z213" s="49">
        <f t="shared" si="134"/>
        <v>0</v>
      </c>
      <c r="AA213" s="49">
        <f t="shared" si="135"/>
        <v>0</v>
      </c>
      <c r="AB213" s="49">
        <f t="shared" si="136"/>
        <v>0</v>
      </c>
      <c r="AC213" s="49">
        <f t="shared" si="137"/>
        <v>0</v>
      </c>
      <c r="AD213" s="49">
        <f t="shared" si="138"/>
        <v>0</v>
      </c>
      <c r="AE213" s="49">
        <f t="shared" si="139"/>
        <v>0</v>
      </c>
      <c r="AF213" s="49">
        <f t="shared" si="140"/>
        <v>0</v>
      </c>
      <c r="AG213" s="49">
        <f t="shared" si="141"/>
        <v>0</v>
      </c>
      <c r="AH213" s="49">
        <f t="shared" si="142"/>
        <v>0</v>
      </c>
      <c r="AI213" s="47">
        <f t="shared" si="147"/>
        <v>0</v>
      </c>
      <c r="AJ213" s="134">
        <f t="shared" si="148"/>
        <v>0</v>
      </c>
      <c r="AL213" s="134"/>
    </row>
    <row r="214" spans="2:47" s="45" customFormat="1" ht="13.5" customHeight="1" x14ac:dyDescent="0.2">
      <c r="B214" s="1" t="str">
        <f t="shared" si="150"/>
        <v>VanccommercialCCSP3Y</v>
      </c>
      <c r="C214" s="58" t="s">
        <v>153</v>
      </c>
      <c r="D214" s="58" t="s">
        <v>256</v>
      </c>
      <c r="E214" s="11">
        <v>78.95</v>
      </c>
      <c r="F214" s="11">
        <v>78.95</v>
      </c>
      <c r="G214" s="11">
        <v>84.06</v>
      </c>
      <c r="H214" s="55"/>
      <c r="I214" s="14">
        <v>236.85</v>
      </c>
      <c r="J214" s="14">
        <v>0</v>
      </c>
      <c r="K214" s="14">
        <v>236.85</v>
      </c>
      <c r="L214" s="14">
        <v>473.7</v>
      </c>
      <c r="M214" s="14">
        <v>394.75</v>
      </c>
      <c r="N214" s="14">
        <v>157.9</v>
      </c>
      <c r="O214" s="14">
        <v>0</v>
      </c>
      <c r="P214" s="14">
        <v>394.75</v>
      </c>
      <c r="Q214" s="14">
        <v>473.7</v>
      </c>
      <c r="R214" s="14">
        <v>578.20000000000005</v>
      </c>
      <c r="S214" s="14">
        <v>168.12</v>
      </c>
      <c r="T214" s="14">
        <v>588.41999999999996</v>
      </c>
      <c r="U214" s="73">
        <f t="shared" si="146"/>
        <v>3703.24</v>
      </c>
      <c r="W214" s="49">
        <f t="shared" si="131"/>
        <v>3</v>
      </c>
      <c r="X214" s="49">
        <f t="shared" si="132"/>
        <v>0</v>
      </c>
      <c r="Y214" s="49">
        <f t="shared" si="133"/>
        <v>3</v>
      </c>
      <c r="Z214" s="49">
        <f t="shared" si="134"/>
        <v>6</v>
      </c>
      <c r="AA214" s="49">
        <f t="shared" si="135"/>
        <v>5</v>
      </c>
      <c r="AB214" s="49">
        <f t="shared" si="136"/>
        <v>2</v>
      </c>
      <c r="AC214" s="49">
        <f t="shared" si="137"/>
        <v>0</v>
      </c>
      <c r="AD214" s="49">
        <f t="shared" si="138"/>
        <v>5</v>
      </c>
      <c r="AE214" s="49">
        <f t="shared" si="139"/>
        <v>6</v>
      </c>
      <c r="AF214" s="49">
        <f t="shared" si="140"/>
        <v>6.8784201760647159</v>
      </c>
      <c r="AG214" s="49">
        <f t="shared" si="141"/>
        <v>2</v>
      </c>
      <c r="AH214" s="49">
        <f t="shared" si="142"/>
        <v>6.9999999999999991</v>
      </c>
      <c r="AI214" s="47">
        <f t="shared" si="147"/>
        <v>3.8232016813387264</v>
      </c>
      <c r="AJ214" s="134">
        <f t="shared" si="148"/>
        <v>45.878420176064715</v>
      </c>
      <c r="AL214" s="134"/>
    </row>
    <row r="215" spans="2:47" s="45" customFormat="1" x14ac:dyDescent="0.2">
      <c r="B215" s="1" t="str">
        <f t="shared" si="150"/>
        <v>VanccommercialVCSP2YC</v>
      </c>
      <c r="C215" s="58" t="s">
        <v>848</v>
      </c>
      <c r="D215" s="58" t="s">
        <v>875</v>
      </c>
      <c r="E215" s="11">
        <v>139.22</v>
      </c>
      <c r="F215" s="11">
        <v>139.22</v>
      </c>
      <c r="G215" s="11">
        <v>148.83000000000001</v>
      </c>
      <c r="H215" s="55"/>
      <c r="I215" s="14">
        <v>0</v>
      </c>
      <c r="J215" s="14">
        <v>139.22</v>
      </c>
      <c r="K215" s="14">
        <v>0</v>
      </c>
      <c r="L215" s="14">
        <v>0</v>
      </c>
      <c r="M215" s="14">
        <v>278.44</v>
      </c>
      <c r="N215" s="14">
        <v>0</v>
      </c>
      <c r="O215" s="14">
        <v>0</v>
      </c>
      <c r="P215" s="14">
        <v>0</v>
      </c>
      <c r="Q215" s="14">
        <v>0</v>
      </c>
      <c r="R215" s="14">
        <v>297.66000000000003</v>
      </c>
      <c r="S215" s="14">
        <v>0</v>
      </c>
      <c r="T215" s="14">
        <v>0</v>
      </c>
      <c r="U215" s="73">
        <f t="shared" si="146"/>
        <v>715.31999999999994</v>
      </c>
      <c r="W215" s="49">
        <f t="shared" si="131"/>
        <v>0</v>
      </c>
      <c r="X215" s="49">
        <f t="shared" si="132"/>
        <v>1</v>
      </c>
      <c r="Y215" s="49">
        <f t="shared" si="133"/>
        <v>0</v>
      </c>
      <c r="Z215" s="49">
        <f t="shared" si="134"/>
        <v>0</v>
      </c>
      <c r="AA215" s="49">
        <f t="shared" si="135"/>
        <v>2</v>
      </c>
      <c r="AB215" s="49">
        <f t="shared" si="136"/>
        <v>0</v>
      </c>
      <c r="AC215" s="49">
        <f t="shared" si="137"/>
        <v>0</v>
      </c>
      <c r="AD215" s="49">
        <f t="shared" si="138"/>
        <v>0</v>
      </c>
      <c r="AE215" s="49">
        <f t="shared" si="139"/>
        <v>0</v>
      </c>
      <c r="AF215" s="49">
        <f t="shared" si="140"/>
        <v>2</v>
      </c>
      <c r="AG215" s="49">
        <f t="shared" si="141"/>
        <v>0</v>
      </c>
      <c r="AH215" s="49">
        <f t="shared" si="142"/>
        <v>0</v>
      </c>
      <c r="AI215" s="47">
        <f t="shared" si="147"/>
        <v>0.41666666666666669</v>
      </c>
      <c r="AJ215" s="134">
        <f t="shared" si="148"/>
        <v>5</v>
      </c>
      <c r="AL215" s="134"/>
    </row>
    <row r="216" spans="2:47" s="45" customFormat="1" x14ac:dyDescent="0.2">
      <c r="B216" s="1" t="str">
        <f>"Vanc"&amp;"commercial"&amp;C216</f>
        <v>VanccommercialVCSP4YC</v>
      </c>
      <c r="C216" s="58" t="s">
        <v>154</v>
      </c>
      <c r="D216" s="58" t="s">
        <v>257</v>
      </c>
      <c r="E216" s="11">
        <v>258.7</v>
      </c>
      <c r="F216" s="11">
        <v>258.7</v>
      </c>
      <c r="G216" s="11">
        <v>276.55</v>
      </c>
      <c r="H216" s="55"/>
      <c r="I216" s="14">
        <v>0</v>
      </c>
      <c r="J216" s="14">
        <v>258.7</v>
      </c>
      <c r="K216" s="14">
        <v>0</v>
      </c>
      <c r="L216" s="14">
        <v>0</v>
      </c>
      <c r="M216" s="14">
        <v>0</v>
      </c>
      <c r="N216" s="14">
        <v>0</v>
      </c>
      <c r="O216" s="14">
        <v>0</v>
      </c>
      <c r="P216" s="14">
        <v>0</v>
      </c>
      <c r="Q216" s="14">
        <v>0</v>
      </c>
      <c r="R216" s="14">
        <v>0</v>
      </c>
      <c r="S216" s="14">
        <v>0</v>
      </c>
      <c r="T216" s="14">
        <v>0</v>
      </c>
      <c r="U216" s="73">
        <f>SUM(I216:T216)</f>
        <v>258.7</v>
      </c>
      <c r="W216" s="49">
        <f t="shared" si="131"/>
        <v>0</v>
      </c>
      <c r="X216" s="49">
        <f t="shared" si="132"/>
        <v>1</v>
      </c>
      <c r="Y216" s="49">
        <f t="shared" si="133"/>
        <v>0</v>
      </c>
      <c r="Z216" s="49">
        <f t="shared" si="134"/>
        <v>0</v>
      </c>
      <c r="AA216" s="49">
        <f t="shared" si="135"/>
        <v>0</v>
      </c>
      <c r="AB216" s="49">
        <f t="shared" si="136"/>
        <v>0</v>
      </c>
      <c r="AC216" s="49">
        <f t="shared" si="137"/>
        <v>0</v>
      </c>
      <c r="AD216" s="49">
        <f t="shared" si="138"/>
        <v>0</v>
      </c>
      <c r="AE216" s="49">
        <f t="shared" si="139"/>
        <v>0</v>
      </c>
      <c r="AF216" s="49">
        <f t="shared" si="140"/>
        <v>0</v>
      </c>
      <c r="AG216" s="49">
        <f t="shared" si="141"/>
        <v>0</v>
      </c>
      <c r="AH216" s="49">
        <f t="shared" si="142"/>
        <v>0</v>
      </c>
      <c r="AI216" s="47">
        <f>+IFERROR(AVERAGE(W216:AH216),0)</f>
        <v>8.3333333333333329E-2</v>
      </c>
      <c r="AJ216" s="134">
        <f>SUM(W216:AH216)</f>
        <v>1</v>
      </c>
      <c r="AL216" s="134"/>
    </row>
    <row r="217" spans="2:47" s="45" customFormat="1" x14ac:dyDescent="0.2">
      <c r="B217" s="1" t="str">
        <f t="shared" si="150"/>
        <v>VanccommercialVCSP6YC</v>
      </c>
      <c r="C217" s="58" t="s">
        <v>1060</v>
      </c>
      <c r="D217" s="58" t="s">
        <v>1061</v>
      </c>
      <c r="E217" s="11">
        <v>378.17</v>
      </c>
      <c r="F217" s="11">
        <v>378.17</v>
      </c>
      <c r="G217" s="11">
        <v>404.26</v>
      </c>
      <c r="H217" s="55"/>
      <c r="I217" s="14">
        <v>0</v>
      </c>
      <c r="J217" s="14">
        <v>0</v>
      </c>
      <c r="K217" s="14">
        <v>0</v>
      </c>
      <c r="L217" s="14">
        <v>0</v>
      </c>
      <c r="M217" s="14">
        <v>0</v>
      </c>
      <c r="N217" s="14">
        <v>378.17</v>
      </c>
      <c r="O217" s="14">
        <v>0</v>
      </c>
      <c r="P217" s="14">
        <v>0</v>
      </c>
      <c r="Q217" s="14">
        <v>0</v>
      </c>
      <c r="R217" s="14">
        <v>2021.3</v>
      </c>
      <c r="S217" s="14">
        <v>0</v>
      </c>
      <c r="T217" s="14">
        <v>0</v>
      </c>
      <c r="U217" s="73">
        <f t="shared" si="146"/>
        <v>2399.4699999999998</v>
      </c>
      <c r="W217" s="49">
        <f t="shared" si="131"/>
        <v>0</v>
      </c>
      <c r="X217" s="49">
        <f t="shared" si="132"/>
        <v>0</v>
      </c>
      <c r="Y217" s="49">
        <f t="shared" si="133"/>
        <v>0</v>
      </c>
      <c r="Z217" s="49">
        <f t="shared" si="134"/>
        <v>0</v>
      </c>
      <c r="AA217" s="49">
        <f t="shared" si="135"/>
        <v>0</v>
      </c>
      <c r="AB217" s="49">
        <f t="shared" si="136"/>
        <v>1</v>
      </c>
      <c r="AC217" s="49">
        <f t="shared" si="137"/>
        <v>0</v>
      </c>
      <c r="AD217" s="49">
        <f t="shared" si="138"/>
        <v>0</v>
      </c>
      <c r="AE217" s="49">
        <f t="shared" si="139"/>
        <v>0</v>
      </c>
      <c r="AF217" s="49">
        <f t="shared" si="140"/>
        <v>5</v>
      </c>
      <c r="AG217" s="49">
        <f t="shared" si="141"/>
        <v>0</v>
      </c>
      <c r="AH217" s="49">
        <f t="shared" si="142"/>
        <v>0</v>
      </c>
      <c r="AI217" s="47">
        <f t="shared" si="147"/>
        <v>0.5</v>
      </c>
      <c r="AJ217" s="134">
        <f t="shared" si="148"/>
        <v>6</v>
      </c>
      <c r="AL217" s="134"/>
    </row>
    <row r="218" spans="2:47" s="45" customFormat="1" x14ac:dyDescent="0.2">
      <c r="B218" s="1" t="str">
        <f t="shared" si="150"/>
        <v>VanccommercialCCSP4Y</v>
      </c>
      <c r="C218" s="58" t="s">
        <v>155</v>
      </c>
      <c r="D218" s="58" t="s">
        <v>258</v>
      </c>
      <c r="E218" s="11">
        <v>98.84</v>
      </c>
      <c r="F218" s="11">
        <v>98.84</v>
      </c>
      <c r="G218" s="11">
        <v>105.31</v>
      </c>
      <c r="H218" s="55"/>
      <c r="I218" s="14">
        <v>395.36</v>
      </c>
      <c r="J218" s="14">
        <v>395.36</v>
      </c>
      <c r="K218" s="14">
        <v>395.36</v>
      </c>
      <c r="L218" s="14">
        <v>296.52</v>
      </c>
      <c r="M218" s="14">
        <v>395.36</v>
      </c>
      <c r="N218" s="14">
        <v>197.68</v>
      </c>
      <c r="O218" s="14">
        <v>395.36</v>
      </c>
      <c r="P218" s="14">
        <v>197.68</v>
      </c>
      <c r="Q218" s="14">
        <v>296.52</v>
      </c>
      <c r="R218" s="14">
        <v>315.93</v>
      </c>
      <c r="S218" s="14">
        <v>315.93</v>
      </c>
      <c r="T218" s="14">
        <v>210.62</v>
      </c>
      <c r="U218" s="73">
        <f t="shared" si="146"/>
        <v>3807.6799999999994</v>
      </c>
      <c r="W218" s="49">
        <f t="shared" si="131"/>
        <v>4</v>
      </c>
      <c r="X218" s="49">
        <f t="shared" si="132"/>
        <v>4</v>
      </c>
      <c r="Y218" s="49">
        <f t="shared" si="133"/>
        <v>4</v>
      </c>
      <c r="Z218" s="49">
        <f t="shared" si="134"/>
        <v>2.9999999999999996</v>
      </c>
      <c r="AA218" s="49">
        <f t="shared" si="135"/>
        <v>4</v>
      </c>
      <c r="AB218" s="49">
        <f t="shared" si="136"/>
        <v>2</v>
      </c>
      <c r="AC218" s="49">
        <f t="shared" si="137"/>
        <v>4</v>
      </c>
      <c r="AD218" s="49">
        <f t="shared" si="138"/>
        <v>2</v>
      </c>
      <c r="AE218" s="49">
        <f t="shared" si="139"/>
        <v>2.9999999999999996</v>
      </c>
      <c r="AF218" s="49">
        <f t="shared" si="140"/>
        <v>3</v>
      </c>
      <c r="AG218" s="49">
        <f t="shared" si="141"/>
        <v>3</v>
      </c>
      <c r="AH218" s="49">
        <f t="shared" si="142"/>
        <v>2</v>
      </c>
      <c r="AI218" s="47">
        <f t="shared" si="147"/>
        <v>3.1666666666666665</v>
      </c>
      <c r="AJ218" s="134">
        <f t="shared" si="148"/>
        <v>38</v>
      </c>
      <c r="AL218" s="134"/>
    </row>
    <row r="219" spans="2:47" s="45" customFormat="1" x14ac:dyDescent="0.2">
      <c r="B219" s="1" t="str">
        <f t="shared" si="150"/>
        <v>VanccommercialCCSP6Y</v>
      </c>
      <c r="C219" s="58" t="s">
        <v>156</v>
      </c>
      <c r="D219" s="58" t="s">
        <v>259</v>
      </c>
      <c r="E219" s="11">
        <v>138.62</v>
      </c>
      <c r="F219" s="11">
        <v>138.62</v>
      </c>
      <c r="G219" s="11">
        <v>147.81</v>
      </c>
      <c r="H219" s="55"/>
      <c r="I219" s="14">
        <v>277.24</v>
      </c>
      <c r="J219" s="14">
        <v>415.86</v>
      </c>
      <c r="K219" s="14">
        <v>277.24</v>
      </c>
      <c r="L219" s="14">
        <v>277.24</v>
      </c>
      <c r="M219" s="14">
        <v>554.48</v>
      </c>
      <c r="N219" s="14">
        <v>0</v>
      </c>
      <c r="O219" s="14">
        <v>138.62</v>
      </c>
      <c r="P219" s="14">
        <v>138.62</v>
      </c>
      <c r="Q219" s="14">
        <v>277.24</v>
      </c>
      <c r="R219" s="14">
        <v>729.86</v>
      </c>
      <c r="S219" s="14">
        <v>295.62</v>
      </c>
      <c r="T219" s="14">
        <v>295.62</v>
      </c>
      <c r="U219" s="73">
        <f t="shared" si="146"/>
        <v>3677.64</v>
      </c>
      <c r="W219" s="49">
        <f t="shared" si="131"/>
        <v>2</v>
      </c>
      <c r="X219" s="49">
        <f t="shared" si="132"/>
        <v>3</v>
      </c>
      <c r="Y219" s="49">
        <f t="shared" si="133"/>
        <v>2</v>
      </c>
      <c r="Z219" s="49">
        <f t="shared" si="134"/>
        <v>2</v>
      </c>
      <c r="AA219" s="49">
        <f t="shared" si="135"/>
        <v>4</v>
      </c>
      <c r="AB219" s="49">
        <f t="shared" si="136"/>
        <v>0</v>
      </c>
      <c r="AC219" s="49">
        <f t="shared" si="137"/>
        <v>1</v>
      </c>
      <c r="AD219" s="49">
        <f t="shared" si="138"/>
        <v>1</v>
      </c>
      <c r="AE219" s="49">
        <f t="shared" si="139"/>
        <v>2</v>
      </c>
      <c r="AF219" s="49">
        <f t="shared" si="140"/>
        <v>4.9378255869021039</v>
      </c>
      <c r="AG219" s="49">
        <f t="shared" si="141"/>
        <v>2</v>
      </c>
      <c r="AH219" s="49">
        <f t="shared" si="142"/>
        <v>2</v>
      </c>
      <c r="AI219" s="47">
        <f t="shared" si="147"/>
        <v>2.1614854655751752</v>
      </c>
      <c r="AJ219" s="134">
        <f t="shared" si="148"/>
        <v>25.937825586902104</v>
      </c>
      <c r="AL219" s="134"/>
    </row>
    <row r="220" spans="2:47" s="45" customFormat="1" x14ac:dyDescent="0.2">
      <c r="B220" s="1" t="str">
        <f t="shared" si="150"/>
        <v>VanccommercialCCSP8Y</v>
      </c>
      <c r="C220" s="58" t="s">
        <v>157</v>
      </c>
      <c r="D220" s="58" t="s">
        <v>260</v>
      </c>
      <c r="E220" s="11">
        <v>178.4</v>
      </c>
      <c r="F220" s="11">
        <v>178.4</v>
      </c>
      <c r="G220" s="11">
        <v>190.31</v>
      </c>
      <c r="H220" s="55"/>
      <c r="I220" s="14">
        <v>178.4</v>
      </c>
      <c r="J220" s="14">
        <v>178.4</v>
      </c>
      <c r="K220" s="14">
        <v>535.20000000000005</v>
      </c>
      <c r="L220" s="14">
        <v>713.6</v>
      </c>
      <c r="M220" s="14">
        <v>535.20000000000005</v>
      </c>
      <c r="N220" s="14">
        <v>178.4</v>
      </c>
      <c r="O220" s="14">
        <v>0</v>
      </c>
      <c r="P220" s="14">
        <v>0</v>
      </c>
      <c r="Q220" s="14">
        <v>356.8</v>
      </c>
      <c r="R220" s="14">
        <v>190.31</v>
      </c>
      <c r="S220" s="14">
        <v>570.92999999999995</v>
      </c>
      <c r="T220" s="14">
        <v>0</v>
      </c>
      <c r="U220" s="73">
        <f t="shared" si="146"/>
        <v>3437.2400000000002</v>
      </c>
      <c r="W220" s="49">
        <f t="shared" si="131"/>
        <v>1</v>
      </c>
      <c r="X220" s="49">
        <f t="shared" si="132"/>
        <v>1</v>
      </c>
      <c r="Y220" s="49">
        <f t="shared" si="133"/>
        <v>3</v>
      </c>
      <c r="Z220" s="49">
        <f t="shared" si="134"/>
        <v>4</v>
      </c>
      <c r="AA220" s="49">
        <f t="shared" si="135"/>
        <v>3</v>
      </c>
      <c r="AB220" s="49">
        <f t="shared" si="136"/>
        <v>1</v>
      </c>
      <c r="AC220" s="49">
        <f t="shared" si="137"/>
        <v>0</v>
      </c>
      <c r="AD220" s="49">
        <f t="shared" si="138"/>
        <v>0</v>
      </c>
      <c r="AE220" s="49">
        <f t="shared" si="139"/>
        <v>2</v>
      </c>
      <c r="AF220" s="49">
        <f t="shared" si="140"/>
        <v>1</v>
      </c>
      <c r="AG220" s="49">
        <f t="shared" si="141"/>
        <v>2.9999999999999996</v>
      </c>
      <c r="AH220" s="49">
        <f t="shared" si="142"/>
        <v>0</v>
      </c>
      <c r="AI220" s="47">
        <f t="shared" si="147"/>
        <v>1.5833333333333333</v>
      </c>
      <c r="AJ220" s="134">
        <f t="shared" si="148"/>
        <v>19</v>
      </c>
      <c r="AL220" s="134"/>
    </row>
    <row r="221" spans="2:47" s="86" customFormat="1" x14ac:dyDescent="0.2">
      <c r="B221" s="1" t="str">
        <f t="shared" si="126"/>
        <v>VanccommercialVACCESS</v>
      </c>
      <c r="C221" s="58" t="s">
        <v>829</v>
      </c>
      <c r="D221" s="58" t="s">
        <v>294</v>
      </c>
      <c r="E221" s="11">
        <v>18.97</v>
      </c>
      <c r="F221" s="11">
        <v>18.97</v>
      </c>
      <c r="G221" s="11">
        <v>19.96</v>
      </c>
      <c r="H221" s="85"/>
      <c r="I221" s="14">
        <v>29332.59</v>
      </c>
      <c r="J221" s="14">
        <v>29526.76</v>
      </c>
      <c r="K221" s="14">
        <v>29616.75</v>
      </c>
      <c r="L221" s="14">
        <v>28241.64</v>
      </c>
      <c r="M221" s="14">
        <v>29408.080000000002</v>
      </c>
      <c r="N221" s="14">
        <v>29555.34</v>
      </c>
      <c r="O221" s="14">
        <v>29844.560000000001</v>
      </c>
      <c r="P221" s="14">
        <v>29863.62</v>
      </c>
      <c r="Q221" s="14">
        <v>29858.799999999999</v>
      </c>
      <c r="R221" s="14">
        <v>31465.73</v>
      </c>
      <c r="S221" s="14">
        <v>31597.33</v>
      </c>
      <c r="T221" s="14">
        <v>31511.5</v>
      </c>
      <c r="U221" s="73">
        <f t="shared" si="146"/>
        <v>359822.7</v>
      </c>
      <c r="W221" s="49">
        <f t="shared" si="131"/>
        <v>1546.2619926199263</v>
      </c>
      <c r="X221" s="49">
        <f t="shared" si="132"/>
        <v>1556.4976278334211</v>
      </c>
      <c r="Y221" s="49">
        <f t="shared" si="133"/>
        <v>1561.2414338429101</v>
      </c>
      <c r="Z221" s="49">
        <f t="shared" si="134"/>
        <v>1488.7527675276754</v>
      </c>
      <c r="AA221" s="49">
        <f t="shared" si="135"/>
        <v>1550.2414338429101</v>
      </c>
      <c r="AB221" s="49">
        <f t="shared" si="136"/>
        <v>1558.0042171850291</v>
      </c>
      <c r="AC221" s="49">
        <f t="shared" si="137"/>
        <v>1573.2503953610967</v>
      </c>
      <c r="AD221" s="49">
        <f t="shared" si="138"/>
        <v>1574.2551396942542</v>
      </c>
      <c r="AE221" s="49">
        <f t="shared" si="139"/>
        <v>1574.0010542962573</v>
      </c>
      <c r="AF221" s="49">
        <f t="shared" si="140"/>
        <v>1576.439378757515</v>
      </c>
      <c r="AG221" s="49">
        <f t="shared" si="141"/>
        <v>1583.0325651302605</v>
      </c>
      <c r="AH221" s="49">
        <f t="shared" si="142"/>
        <v>1578.7324649298596</v>
      </c>
      <c r="AI221" s="47">
        <f t="shared" si="147"/>
        <v>1560.0592059184264</v>
      </c>
      <c r="AJ221" s="134">
        <f t="shared" si="148"/>
        <v>18720.710471021117</v>
      </c>
      <c r="AK221" s="45"/>
      <c r="AL221" s="134"/>
    </row>
    <row r="222" spans="2:47" s="86" customFormat="1" x14ac:dyDescent="0.2">
      <c r="B222" s="1" t="str">
        <f t="shared" si="126"/>
        <v>VanccommercialCACCESS</v>
      </c>
      <c r="C222" s="58" t="s">
        <v>201</v>
      </c>
      <c r="D222" s="58" t="s">
        <v>294</v>
      </c>
      <c r="E222" s="11">
        <v>18.97</v>
      </c>
      <c r="F222" s="11">
        <v>18.97</v>
      </c>
      <c r="G222" s="11">
        <v>18.97</v>
      </c>
      <c r="H222" s="85"/>
      <c r="I222" s="14">
        <v>3.22</v>
      </c>
      <c r="J222" s="14">
        <v>6.45</v>
      </c>
      <c r="K222" s="14">
        <v>0</v>
      </c>
      <c r="L222" s="14">
        <v>0</v>
      </c>
      <c r="M222" s="14">
        <v>0</v>
      </c>
      <c r="N222" s="14">
        <v>0</v>
      </c>
      <c r="O222" s="14">
        <v>0</v>
      </c>
      <c r="P222" s="14">
        <v>0</v>
      </c>
      <c r="Q222" s="14">
        <v>0</v>
      </c>
      <c r="R222" s="14">
        <v>0</v>
      </c>
      <c r="S222" s="14">
        <v>0</v>
      </c>
      <c r="T222" s="14">
        <v>0</v>
      </c>
      <c r="U222" s="73">
        <f t="shared" si="146"/>
        <v>9.67</v>
      </c>
      <c r="W222" s="49">
        <f t="shared" si="131"/>
        <v>0.1697416974169742</v>
      </c>
      <c r="X222" s="49">
        <f t="shared" si="132"/>
        <v>0.34001054296257249</v>
      </c>
      <c r="Y222" s="49">
        <f t="shared" si="133"/>
        <v>0</v>
      </c>
      <c r="Z222" s="49">
        <f t="shared" si="134"/>
        <v>0</v>
      </c>
      <c r="AA222" s="49">
        <f t="shared" si="135"/>
        <v>0</v>
      </c>
      <c r="AB222" s="49">
        <f t="shared" si="136"/>
        <v>0</v>
      </c>
      <c r="AC222" s="49">
        <f t="shared" si="137"/>
        <v>0</v>
      </c>
      <c r="AD222" s="49">
        <f t="shared" si="138"/>
        <v>0</v>
      </c>
      <c r="AE222" s="49">
        <f t="shared" si="139"/>
        <v>0</v>
      </c>
      <c r="AF222" s="49">
        <f t="shared" si="140"/>
        <v>0</v>
      </c>
      <c r="AG222" s="49">
        <f t="shared" si="141"/>
        <v>0</v>
      </c>
      <c r="AH222" s="49">
        <f t="shared" si="142"/>
        <v>0</v>
      </c>
      <c r="AI222" s="47">
        <f t="shared" si="147"/>
        <v>4.2479353364962225E-2</v>
      </c>
      <c r="AJ222" s="134">
        <f t="shared" si="148"/>
        <v>0.50975224037954669</v>
      </c>
      <c r="AK222" s="45"/>
      <c r="AL222" s="134"/>
    </row>
    <row r="223" spans="2:47" s="86" customFormat="1" x14ac:dyDescent="0.2">
      <c r="B223" s="1" t="str">
        <f>"Vanc"&amp;"commercial"&amp;C223</f>
        <v>VanccommercialCACCESSEOW</v>
      </c>
      <c r="C223" s="58" t="s">
        <v>202</v>
      </c>
      <c r="D223" s="58" t="s">
        <v>295</v>
      </c>
      <c r="E223" s="11">
        <v>9.4849999999999994</v>
      </c>
      <c r="F223" s="11">
        <v>9.4849999999999994</v>
      </c>
      <c r="G223" s="11">
        <v>9.4849999999999994</v>
      </c>
      <c r="H223" s="85"/>
      <c r="I223" s="14">
        <v>0</v>
      </c>
      <c r="J223" s="14">
        <v>0</v>
      </c>
      <c r="K223" s="14">
        <v>0</v>
      </c>
      <c r="L223" s="14">
        <v>0</v>
      </c>
      <c r="M223" s="14">
        <v>0</v>
      </c>
      <c r="N223" s="14">
        <v>0</v>
      </c>
      <c r="O223" s="14">
        <v>0</v>
      </c>
      <c r="P223" s="14">
        <v>0</v>
      </c>
      <c r="Q223" s="14">
        <v>0</v>
      </c>
      <c r="R223" s="14">
        <v>0</v>
      </c>
      <c r="S223" s="14">
        <v>0</v>
      </c>
      <c r="T223" s="14">
        <v>0</v>
      </c>
      <c r="U223" s="73">
        <f t="shared" si="146"/>
        <v>0</v>
      </c>
      <c r="W223" s="49">
        <f t="shared" si="131"/>
        <v>0</v>
      </c>
      <c r="X223" s="49">
        <f t="shared" si="132"/>
        <v>0</v>
      </c>
      <c r="Y223" s="49">
        <f t="shared" si="133"/>
        <v>0</v>
      </c>
      <c r="Z223" s="49">
        <f t="shared" si="134"/>
        <v>0</v>
      </c>
      <c r="AA223" s="49">
        <f t="shared" si="135"/>
        <v>0</v>
      </c>
      <c r="AB223" s="49">
        <f t="shared" si="136"/>
        <v>0</v>
      </c>
      <c r="AC223" s="49">
        <f t="shared" si="137"/>
        <v>0</v>
      </c>
      <c r="AD223" s="49">
        <f t="shared" si="138"/>
        <v>0</v>
      </c>
      <c r="AE223" s="49">
        <f t="shared" si="139"/>
        <v>0</v>
      </c>
      <c r="AF223" s="49">
        <f t="shared" si="140"/>
        <v>0</v>
      </c>
      <c r="AG223" s="49">
        <f t="shared" si="141"/>
        <v>0</v>
      </c>
      <c r="AH223" s="49">
        <f t="shared" si="142"/>
        <v>0</v>
      </c>
      <c r="AI223" s="47">
        <f t="shared" si="147"/>
        <v>0</v>
      </c>
      <c r="AJ223" s="134">
        <f t="shared" si="148"/>
        <v>0</v>
      </c>
      <c r="AK223" s="45"/>
      <c r="AL223" s="134"/>
    </row>
    <row r="224" spans="2:47" s="45" customFormat="1" x14ac:dyDescent="0.2">
      <c r="B224" s="1" t="str">
        <f>"Vanc"&amp;"commercial"&amp;C224</f>
        <v>VanccommercialCCPLACE</v>
      </c>
      <c r="C224" s="58" t="s">
        <v>178</v>
      </c>
      <c r="D224" s="58" t="s">
        <v>274</v>
      </c>
      <c r="E224" s="11">
        <v>35.08</v>
      </c>
      <c r="F224" s="11">
        <v>35.08</v>
      </c>
      <c r="G224" s="11">
        <v>36.96</v>
      </c>
      <c r="H224" s="55"/>
      <c r="I224" s="14">
        <v>0</v>
      </c>
      <c r="J224" s="14">
        <v>0</v>
      </c>
      <c r="K224" s="14">
        <v>0</v>
      </c>
      <c r="L224" s="14">
        <v>0</v>
      </c>
      <c r="M224" s="14">
        <v>0</v>
      </c>
      <c r="N224" s="14">
        <v>0</v>
      </c>
      <c r="O224" s="14">
        <v>0</v>
      </c>
      <c r="P224" s="14">
        <v>0</v>
      </c>
      <c r="Q224" s="14">
        <v>0</v>
      </c>
      <c r="R224" s="14">
        <v>0</v>
      </c>
      <c r="S224" s="14">
        <v>0</v>
      </c>
      <c r="T224" s="14">
        <v>0</v>
      </c>
      <c r="U224" s="73">
        <f>SUM(I224:T224)</f>
        <v>0</v>
      </c>
      <c r="W224" s="49">
        <f t="shared" si="131"/>
        <v>0</v>
      </c>
      <c r="X224" s="49">
        <f t="shared" si="132"/>
        <v>0</v>
      </c>
      <c r="Y224" s="49">
        <f t="shared" si="133"/>
        <v>0</v>
      </c>
      <c r="Z224" s="49">
        <f t="shared" si="134"/>
        <v>0</v>
      </c>
      <c r="AA224" s="49">
        <f t="shared" si="135"/>
        <v>0</v>
      </c>
      <c r="AB224" s="49">
        <f t="shared" si="136"/>
        <v>0</v>
      </c>
      <c r="AC224" s="49">
        <f t="shared" si="137"/>
        <v>0</v>
      </c>
      <c r="AD224" s="49">
        <f t="shared" si="138"/>
        <v>0</v>
      </c>
      <c r="AE224" s="49">
        <f t="shared" si="139"/>
        <v>0</v>
      </c>
      <c r="AF224" s="49">
        <f t="shared" si="140"/>
        <v>0</v>
      </c>
      <c r="AG224" s="49">
        <f t="shared" si="141"/>
        <v>0</v>
      </c>
      <c r="AH224" s="49">
        <f t="shared" si="142"/>
        <v>0</v>
      </c>
      <c r="AI224" s="47">
        <f>+IFERROR(AVERAGE(W224:AH224),0)</f>
        <v>0</v>
      </c>
      <c r="AJ224" s="134">
        <f>SUM(W224:AH224)</f>
        <v>0</v>
      </c>
      <c r="AL224" s="134"/>
    </row>
    <row r="225" spans="2:38" s="45" customFormat="1" x14ac:dyDescent="0.2">
      <c r="B225" s="1" t="str">
        <f t="shared" si="126"/>
        <v>VanccommercialCC3YPR</v>
      </c>
      <c r="C225" s="58" t="s">
        <v>183</v>
      </c>
      <c r="D225" s="58" t="s">
        <v>279</v>
      </c>
      <c r="E225" s="11">
        <v>0</v>
      </c>
      <c r="F225" s="11">
        <v>0</v>
      </c>
      <c r="G225" s="11">
        <v>0</v>
      </c>
      <c r="H225" s="55"/>
      <c r="I225" s="14">
        <v>0</v>
      </c>
      <c r="J225" s="14">
        <v>0</v>
      </c>
      <c r="K225" s="14">
        <v>0</v>
      </c>
      <c r="L225" s="14">
        <v>0</v>
      </c>
      <c r="M225" s="14">
        <v>0</v>
      </c>
      <c r="N225" s="14">
        <v>0</v>
      </c>
      <c r="O225" s="14">
        <v>0</v>
      </c>
      <c r="P225" s="14">
        <v>0</v>
      </c>
      <c r="Q225" s="14">
        <v>12.8</v>
      </c>
      <c r="R225" s="14">
        <v>16</v>
      </c>
      <c r="S225" s="14">
        <v>0</v>
      </c>
      <c r="T225" s="14">
        <v>0</v>
      </c>
      <c r="U225" s="73">
        <f t="shared" si="146"/>
        <v>28.8</v>
      </c>
      <c r="W225" s="49">
        <f t="shared" si="131"/>
        <v>0</v>
      </c>
      <c r="X225" s="49">
        <f t="shared" si="132"/>
        <v>0</v>
      </c>
      <c r="Y225" s="49">
        <f t="shared" si="133"/>
        <v>0</v>
      </c>
      <c r="Z225" s="49">
        <f t="shared" si="134"/>
        <v>0</v>
      </c>
      <c r="AA225" s="49">
        <f t="shared" si="135"/>
        <v>0</v>
      </c>
      <c r="AB225" s="49">
        <f t="shared" si="136"/>
        <v>0</v>
      </c>
      <c r="AC225" s="49">
        <f t="shared" si="137"/>
        <v>0</v>
      </c>
      <c r="AD225" s="49">
        <f t="shared" si="138"/>
        <v>0</v>
      </c>
      <c r="AE225" s="49">
        <f t="shared" si="139"/>
        <v>0</v>
      </c>
      <c r="AF225" s="49">
        <f t="shared" si="140"/>
        <v>0</v>
      </c>
      <c r="AG225" s="49">
        <f t="shared" si="141"/>
        <v>0</v>
      </c>
      <c r="AH225" s="49">
        <f t="shared" si="142"/>
        <v>0</v>
      </c>
      <c r="AI225" s="47">
        <f t="shared" si="147"/>
        <v>0</v>
      </c>
      <c r="AJ225" s="134">
        <f t="shared" si="148"/>
        <v>0</v>
      </c>
      <c r="AL225" s="134"/>
    </row>
    <row r="226" spans="2:38" s="45" customFormat="1" x14ac:dyDescent="0.2">
      <c r="B226" s="1" t="str">
        <f t="shared" si="126"/>
        <v>VanccommercialVCPLACE</v>
      </c>
      <c r="C226" s="58" t="s">
        <v>844</v>
      </c>
      <c r="D226" s="58" t="s">
        <v>274</v>
      </c>
      <c r="E226" s="11">
        <v>35.08</v>
      </c>
      <c r="F226" s="11">
        <v>35.08</v>
      </c>
      <c r="G226" s="11">
        <v>36.96</v>
      </c>
      <c r="H226" s="55"/>
      <c r="I226" s="14">
        <v>631.44000000000005</v>
      </c>
      <c r="J226" s="14">
        <v>736.68</v>
      </c>
      <c r="K226" s="14">
        <v>596.36</v>
      </c>
      <c r="L226" s="14">
        <v>631.44000000000005</v>
      </c>
      <c r="M226" s="14">
        <v>596.36</v>
      </c>
      <c r="N226" s="14">
        <v>561.28</v>
      </c>
      <c r="O226" s="14">
        <v>561.28</v>
      </c>
      <c r="P226" s="14">
        <v>561.28</v>
      </c>
      <c r="Q226" s="14">
        <v>385.88</v>
      </c>
      <c r="R226" s="14">
        <v>367.72</v>
      </c>
      <c r="S226" s="14">
        <v>997.92</v>
      </c>
      <c r="T226" s="14">
        <v>739.2</v>
      </c>
      <c r="U226" s="73">
        <f t="shared" si="146"/>
        <v>7366.84</v>
      </c>
      <c r="W226" s="49">
        <f t="shared" si="131"/>
        <v>18.000000000000004</v>
      </c>
      <c r="X226" s="49">
        <f t="shared" si="132"/>
        <v>21</v>
      </c>
      <c r="Y226" s="49">
        <f t="shared" si="133"/>
        <v>17</v>
      </c>
      <c r="Z226" s="49">
        <f t="shared" si="134"/>
        <v>18.000000000000004</v>
      </c>
      <c r="AA226" s="49">
        <f t="shared" si="135"/>
        <v>17</v>
      </c>
      <c r="AB226" s="49">
        <f t="shared" si="136"/>
        <v>16</v>
      </c>
      <c r="AC226" s="49">
        <f t="shared" si="137"/>
        <v>16</v>
      </c>
      <c r="AD226" s="49">
        <f t="shared" si="138"/>
        <v>16</v>
      </c>
      <c r="AE226" s="49">
        <f t="shared" si="139"/>
        <v>11</v>
      </c>
      <c r="AF226" s="49">
        <f t="shared" si="140"/>
        <v>9.9491341991341997</v>
      </c>
      <c r="AG226" s="49">
        <f t="shared" si="141"/>
        <v>27</v>
      </c>
      <c r="AH226" s="49">
        <f t="shared" si="142"/>
        <v>20</v>
      </c>
      <c r="AI226" s="47">
        <f t="shared" si="147"/>
        <v>17.245761183261184</v>
      </c>
      <c r="AJ226" s="134">
        <f t="shared" si="148"/>
        <v>206.94913419913419</v>
      </c>
      <c r="AL226" s="134"/>
    </row>
    <row r="227" spans="2:38" s="45" customFormat="1" x14ac:dyDescent="0.2">
      <c r="B227" s="1" t="str">
        <f t="shared" ref="B227:B255" si="151">"Vanc"&amp;"commercial"&amp;C227</f>
        <v>VanccommercialCCEXCAN</v>
      </c>
      <c r="C227" s="58" t="s">
        <v>174</v>
      </c>
      <c r="D227" s="58" t="s">
        <v>270</v>
      </c>
      <c r="E227" s="11">
        <v>9.98</v>
      </c>
      <c r="F227" s="11">
        <v>9.98</v>
      </c>
      <c r="G227" s="11">
        <v>10.66</v>
      </c>
      <c r="H227" s="55"/>
      <c r="I227" s="14">
        <v>1177.6400000000001</v>
      </c>
      <c r="J227" s="14">
        <v>1636.72</v>
      </c>
      <c r="K227" s="14">
        <v>1703.7</v>
      </c>
      <c r="L227" s="14">
        <v>1796.4</v>
      </c>
      <c r="M227" s="14">
        <v>2302.5</v>
      </c>
      <c r="N227" s="14">
        <v>2115.7600000000002</v>
      </c>
      <c r="O227" s="14">
        <v>1356.32</v>
      </c>
      <c r="P227" s="14">
        <v>1926.14</v>
      </c>
      <c r="Q227" s="14">
        <v>1447.1</v>
      </c>
      <c r="R227" s="14">
        <v>1358.36</v>
      </c>
      <c r="S227" s="14">
        <v>1341.12</v>
      </c>
      <c r="T227" s="14">
        <v>1465.32</v>
      </c>
      <c r="U227" s="73">
        <f t="shared" si="146"/>
        <v>19627.079999999998</v>
      </c>
      <c r="W227" s="49">
        <f t="shared" si="131"/>
        <v>118</v>
      </c>
      <c r="X227" s="49">
        <f t="shared" si="132"/>
        <v>164</v>
      </c>
      <c r="Y227" s="49">
        <f t="shared" si="133"/>
        <v>170.71142284569137</v>
      </c>
      <c r="Z227" s="49">
        <f t="shared" si="134"/>
        <v>180</v>
      </c>
      <c r="AA227" s="49">
        <f t="shared" si="135"/>
        <v>230.71142284569137</v>
      </c>
      <c r="AB227" s="49">
        <f t="shared" si="136"/>
        <v>212</v>
      </c>
      <c r="AC227" s="49">
        <f t="shared" si="137"/>
        <v>135.90380761523045</v>
      </c>
      <c r="AD227" s="49">
        <f t="shared" si="138"/>
        <v>193</v>
      </c>
      <c r="AE227" s="49">
        <f t="shared" si="139"/>
        <v>144.99999999999997</v>
      </c>
      <c r="AF227" s="49">
        <f t="shared" si="140"/>
        <v>127.42589118198873</v>
      </c>
      <c r="AG227" s="49">
        <f t="shared" si="141"/>
        <v>125.80863039399624</v>
      </c>
      <c r="AH227" s="49">
        <f t="shared" si="142"/>
        <v>137.45966228893059</v>
      </c>
      <c r="AI227" s="47">
        <f t="shared" si="147"/>
        <v>161.66840309762739</v>
      </c>
      <c r="AJ227" s="134">
        <f t="shared" si="148"/>
        <v>1940.0208371715287</v>
      </c>
      <c r="AL227" s="134"/>
    </row>
    <row r="228" spans="2:38" s="45" customFormat="1" x14ac:dyDescent="0.2">
      <c r="B228" s="1" t="str">
        <f t="shared" si="151"/>
        <v>VanccommercialCCEXYD</v>
      </c>
      <c r="C228" s="58" t="s">
        <v>175</v>
      </c>
      <c r="D228" s="58" t="s">
        <v>271</v>
      </c>
      <c r="E228" s="11">
        <v>19.89</v>
      </c>
      <c r="F228" s="11">
        <v>19.89</v>
      </c>
      <c r="G228" s="11">
        <v>21.25</v>
      </c>
      <c r="H228" s="55"/>
      <c r="I228" s="14">
        <v>6654.7699999999995</v>
      </c>
      <c r="J228" s="14">
        <v>10114.07</v>
      </c>
      <c r="K228" s="14">
        <v>10601.38</v>
      </c>
      <c r="L228" s="14">
        <v>8672.0499999999993</v>
      </c>
      <c r="M228" s="14">
        <v>7339.42</v>
      </c>
      <c r="N228" s="14">
        <v>6165.9</v>
      </c>
      <c r="O228" s="14">
        <v>6466.62</v>
      </c>
      <c r="P228" s="14">
        <v>6613.45</v>
      </c>
      <c r="Q228" s="14">
        <v>8473.15</v>
      </c>
      <c r="R228" s="14">
        <v>7748.43</v>
      </c>
      <c r="S228" s="14">
        <v>7522.51</v>
      </c>
      <c r="T228" s="14">
        <v>6587.53</v>
      </c>
      <c r="U228" s="73">
        <f t="shared" si="146"/>
        <v>92959.279999999984</v>
      </c>
      <c r="W228" s="49">
        <f t="shared" si="131"/>
        <v>334.5786827551533</v>
      </c>
      <c r="X228" s="49">
        <f t="shared" si="132"/>
        <v>508.50025138260429</v>
      </c>
      <c r="Y228" s="49">
        <f t="shared" si="133"/>
        <v>533.00050276520858</v>
      </c>
      <c r="Z228" s="49">
        <f t="shared" si="134"/>
        <v>436.00050276520858</v>
      </c>
      <c r="AA228" s="49">
        <f t="shared" si="135"/>
        <v>369.00050276520864</v>
      </c>
      <c r="AB228" s="49">
        <f t="shared" si="136"/>
        <v>310</v>
      </c>
      <c r="AC228" s="49">
        <f t="shared" si="137"/>
        <v>325.11915535444945</v>
      </c>
      <c r="AD228" s="49">
        <f t="shared" si="138"/>
        <v>332.50125691302162</v>
      </c>
      <c r="AE228" s="49">
        <f t="shared" si="139"/>
        <v>426.00050276520864</v>
      </c>
      <c r="AF228" s="49">
        <f t="shared" si="140"/>
        <v>364.63200000000001</v>
      </c>
      <c r="AG228" s="49">
        <f t="shared" si="141"/>
        <v>354.00047058823532</v>
      </c>
      <c r="AH228" s="49">
        <f t="shared" si="142"/>
        <v>310.00141176470589</v>
      </c>
      <c r="AI228" s="47">
        <f t="shared" si="147"/>
        <v>383.6112699849171</v>
      </c>
      <c r="AJ228" s="134">
        <f t="shared" si="148"/>
        <v>4603.3352398190054</v>
      </c>
      <c r="AL228" s="134"/>
    </row>
    <row r="229" spans="2:38" s="45" customFormat="1" x14ac:dyDescent="0.2">
      <c r="B229" s="1" t="str">
        <f t="shared" si="151"/>
        <v>VanccommercialVEXBIN</v>
      </c>
      <c r="C229" s="58" t="s">
        <v>845</v>
      </c>
      <c r="D229" s="58" t="s">
        <v>873</v>
      </c>
      <c r="E229" s="11">
        <v>123.46</v>
      </c>
      <c r="F229" s="11">
        <v>123.46</v>
      </c>
      <c r="G229" s="11">
        <v>131.93</v>
      </c>
      <c r="H229" s="55"/>
      <c r="I229" s="14">
        <v>0</v>
      </c>
      <c r="J229" s="14">
        <v>0</v>
      </c>
      <c r="K229" s="14">
        <v>370.38</v>
      </c>
      <c r="L229" s="14">
        <v>0</v>
      </c>
      <c r="M229" s="14">
        <v>370.38</v>
      </c>
      <c r="N229" s="14">
        <v>246.92</v>
      </c>
      <c r="O229" s="14">
        <v>864.22</v>
      </c>
      <c r="P229" s="14">
        <v>0</v>
      </c>
      <c r="Q229" s="14">
        <v>123.46</v>
      </c>
      <c r="R229" s="14">
        <v>0</v>
      </c>
      <c r="S229" s="14">
        <v>0</v>
      </c>
      <c r="T229" s="14">
        <v>131.93</v>
      </c>
      <c r="U229" s="73">
        <f t="shared" si="146"/>
        <v>2107.29</v>
      </c>
      <c r="W229" s="49">
        <f t="shared" si="131"/>
        <v>0</v>
      </c>
      <c r="X229" s="49">
        <f t="shared" si="132"/>
        <v>0</v>
      </c>
      <c r="Y229" s="49">
        <f t="shared" si="133"/>
        <v>3</v>
      </c>
      <c r="Z229" s="49">
        <f t="shared" si="134"/>
        <v>0</v>
      </c>
      <c r="AA229" s="49">
        <f t="shared" si="135"/>
        <v>3</v>
      </c>
      <c r="AB229" s="49">
        <f t="shared" si="136"/>
        <v>2</v>
      </c>
      <c r="AC229" s="49">
        <f t="shared" si="137"/>
        <v>7.0000000000000009</v>
      </c>
      <c r="AD229" s="49">
        <f t="shared" si="138"/>
        <v>0</v>
      </c>
      <c r="AE229" s="49">
        <f t="shared" si="139"/>
        <v>1</v>
      </c>
      <c r="AF229" s="49">
        <f t="shared" si="140"/>
        <v>0</v>
      </c>
      <c r="AG229" s="49">
        <f t="shared" si="141"/>
        <v>0</v>
      </c>
      <c r="AH229" s="49">
        <f t="shared" si="142"/>
        <v>1</v>
      </c>
      <c r="AI229" s="47">
        <f t="shared" si="147"/>
        <v>1.4166666666666667</v>
      </c>
      <c r="AJ229" s="134">
        <f t="shared" si="148"/>
        <v>17</v>
      </c>
      <c r="AL229" s="134"/>
    </row>
    <row r="230" spans="2:38" s="45" customFormat="1" x14ac:dyDescent="0.2">
      <c r="B230" s="1" t="str">
        <f t="shared" si="151"/>
        <v>VanccommercialVLOCK</v>
      </c>
      <c r="C230" s="58" t="s">
        <v>647</v>
      </c>
      <c r="D230" s="58" t="s">
        <v>648</v>
      </c>
      <c r="E230" s="11">
        <v>13.38</v>
      </c>
      <c r="F230" s="11">
        <v>13.38</v>
      </c>
      <c r="G230" s="11">
        <v>14.12</v>
      </c>
      <c r="H230" s="55"/>
      <c r="I230" s="14">
        <v>307.74</v>
      </c>
      <c r="J230" s="14">
        <v>307.74</v>
      </c>
      <c r="K230" s="14">
        <v>321.12</v>
      </c>
      <c r="L230" s="14">
        <v>321.12</v>
      </c>
      <c r="M230" s="14">
        <v>321.12</v>
      </c>
      <c r="N230" s="14">
        <v>314.43</v>
      </c>
      <c r="O230" s="14">
        <v>321.12</v>
      </c>
      <c r="P230" s="14">
        <v>317.77999999999997</v>
      </c>
      <c r="Q230" s="14">
        <v>307.74</v>
      </c>
      <c r="R230" s="14">
        <v>310.64</v>
      </c>
      <c r="S230" s="14">
        <v>310.64</v>
      </c>
      <c r="T230" s="14">
        <v>303.58</v>
      </c>
      <c r="U230" s="73">
        <f t="shared" si="146"/>
        <v>3764.7699999999995</v>
      </c>
      <c r="W230" s="49">
        <f t="shared" si="131"/>
        <v>23</v>
      </c>
      <c r="X230" s="49">
        <f t="shared" si="132"/>
        <v>23</v>
      </c>
      <c r="Y230" s="49">
        <f t="shared" si="133"/>
        <v>24</v>
      </c>
      <c r="Z230" s="49">
        <f t="shared" si="134"/>
        <v>24</v>
      </c>
      <c r="AA230" s="49">
        <f t="shared" si="135"/>
        <v>24</v>
      </c>
      <c r="AB230" s="49">
        <f t="shared" si="136"/>
        <v>23.5</v>
      </c>
      <c r="AC230" s="49">
        <f t="shared" si="137"/>
        <v>24</v>
      </c>
      <c r="AD230" s="49">
        <f t="shared" si="138"/>
        <v>23.750373692077723</v>
      </c>
      <c r="AE230" s="49">
        <f t="shared" si="139"/>
        <v>23</v>
      </c>
      <c r="AF230" s="49">
        <f t="shared" si="140"/>
        <v>22</v>
      </c>
      <c r="AG230" s="49">
        <f t="shared" si="141"/>
        <v>22</v>
      </c>
      <c r="AH230" s="49">
        <f t="shared" si="142"/>
        <v>21.5</v>
      </c>
      <c r="AI230" s="47">
        <f t="shared" si="147"/>
        <v>23.145864474339806</v>
      </c>
      <c r="AJ230" s="134">
        <f t="shared" si="148"/>
        <v>277.75037369207769</v>
      </c>
      <c r="AL230" s="134"/>
    </row>
    <row r="231" spans="2:38" s="45" customFormat="1" x14ac:dyDescent="0.2">
      <c r="B231" s="1" t="str">
        <f t="shared" si="151"/>
        <v>VanccommercialCC2YPR</v>
      </c>
      <c r="C231" s="58" t="s">
        <v>182</v>
      </c>
      <c r="D231" s="58" t="s">
        <v>278</v>
      </c>
      <c r="E231" s="11">
        <v>0</v>
      </c>
      <c r="F231" s="11">
        <v>0</v>
      </c>
      <c r="G231" s="11">
        <v>0</v>
      </c>
      <c r="H231" s="55"/>
      <c r="I231" s="14">
        <v>3.73</v>
      </c>
      <c r="J231" s="14">
        <v>14.93</v>
      </c>
      <c r="K231" s="14">
        <v>-18.66</v>
      </c>
      <c r="L231" s="14">
        <v>0</v>
      </c>
      <c r="M231" s="14">
        <v>0</v>
      </c>
      <c r="N231" s="14">
        <v>0</v>
      </c>
      <c r="O231" s="14">
        <v>0</v>
      </c>
      <c r="P231" s="14">
        <v>0</v>
      </c>
      <c r="Q231" s="14">
        <v>0</v>
      </c>
      <c r="R231" s="14">
        <v>0</v>
      </c>
      <c r="S231" s="14">
        <v>0</v>
      </c>
      <c r="T231" s="14">
        <v>0</v>
      </c>
      <c r="U231" s="73">
        <f t="shared" si="146"/>
        <v>0</v>
      </c>
      <c r="W231" s="49">
        <f t="shared" si="131"/>
        <v>0</v>
      </c>
      <c r="X231" s="49">
        <f t="shared" si="132"/>
        <v>0</v>
      </c>
      <c r="Y231" s="49">
        <f t="shared" si="133"/>
        <v>0</v>
      </c>
      <c r="Z231" s="49">
        <f t="shared" si="134"/>
        <v>0</v>
      </c>
      <c r="AA231" s="49">
        <f t="shared" si="135"/>
        <v>0</v>
      </c>
      <c r="AB231" s="49">
        <f t="shared" si="136"/>
        <v>0</v>
      </c>
      <c r="AC231" s="49">
        <f t="shared" si="137"/>
        <v>0</v>
      </c>
      <c r="AD231" s="49">
        <f t="shared" si="138"/>
        <v>0</v>
      </c>
      <c r="AE231" s="49">
        <f t="shared" si="139"/>
        <v>0</v>
      </c>
      <c r="AF231" s="49">
        <f t="shared" si="140"/>
        <v>0</v>
      </c>
      <c r="AG231" s="49">
        <f t="shared" si="141"/>
        <v>0</v>
      </c>
      <c r="AH231" s="49">
        <f t="shared" si="142"/>
        <v>0</v>
      </c>
      <c r="AI231" s="47">
        <f t="shared" si="147"/>
        <v>0</v>
      </c>
      <c r="AJ231" s="134">
        <f t="shared" si="148"/>
        <v>0</v>
      </c>
      <c r="AL231" s="134"/>
    </row>
    <row r="232" spans="2:38" s="45" customFormat="1" x14ac:dyDescent="0.2">
      <c r="B232" s="1" t="str">
        <f t="shared" si="151"/>
        <v>VanccommercialVCROLL15</v>
      </c>
      <c r="C232" s="58" t="s">
        <v>846</v>
      </c>
      <c r="D232" s="58" t="s">
        <v>874</v>
      </c>
      <c r="E232" s="11">
        <v>18.97</v>
      </c>
      <c r="F232" s="11">
        <v>18.97</v>
      </c>
      <c r="G232" s="11">
        <v>19.96</v>
      </c>
      <c r="H232" s="55"/>
      <c r="I232" s="14">
        <v>56.91</v>
      </c>
      <c r="J232" s="14">
        <v>56.91</v>
      </c>
      <c r="K232" s="14">
        <v>56.91</v>
      </c>
      <c r="L232" s="14">
        <v>56.91</v>
      </c>
      <c r="M232" s="14">
        <v>0</v>
      </c>
      <c r="N232" s="14">
        <v>0</v>
      </c>
      <c r="O232" s="14">
        <v>0</v>
      </c>
      <c r="P232" s="14">
        <v>0</v>
      </c>
      <c r="Q232" s="14">
        <v>0</v>
      </c>
      <c r="R232" s="14">
        <v>0</v>
      </c>
      <c r="S232" s="14">
        <v>0</v>
      </c>
      <c r="T232" s="14">
        <v>0</v>
      </c>
      <c r="U232" s="73">
        <f t="shared" si="146"/>
        <v>227.64</v>
      </c>
      <c r="W232" s="49">
        <f t="shared" si="131"/>
        <v>3</v>
      </c>
      <c r="X232" s="49">
        <f t="shared" si="132"/>
        <v>3</v>
      </c>
      <c r="Y232" s="49">
        <f t="shared" si="133"/>
        <v>3</v>
      </c>
      <c r="Z232" s="49">
        <f t="shared" si="134"/>
        <v>3</v>
      </c>
      <c r="AA232" s="49">
        <f t="shared" si="135"/>
        <v>0</v>
      </c>
      <c r="AB232" s="49">
        <f t="shared" si="136"/>
        <v>0</v>
      </c>
      <c r="AC232" s="49">
        <f t="shared" si="137"/>
        <v>0</v>
      </c>
      <c r="AD232" s="49">
        <f t="shared" si="138"/>
        <v>0</v>
      </c>
      <c r="AE232" s="49">
        <f t="shared" si="139"/>
        <v>0</v>
      </c>
      <c r="AF232" s="49">
        <f t="shared" si="140"/>
        <v>0</v>
      </c>
      <c r="AG232" s="49">
        <f t="shared" si="141"/>
        <v>0</v>
      </c>
      <c r="AH232" s="49">
        <f t="shared" si="142"/>
        <v>0</v>
      </c>
      <c r="AI232" s="47">
        <f t="shared" si="147"/>
        <v>1</v>
      </c>
      <c r="AJ232" s="134">
        <f t="shared" si="148"/>
        <v>12</v>
      </c>
      <c r="AL232" s="134"/>
    </row>
    <row r="233" spans="2:38" s="45" customFormat="1" x14ac:dyDescent="0.2">
      <c r="B233" s="1" t="str">
        <f>"Vanc"&amp;"commercial"&amp;C233</f>
        <v>VanccommercialCROLLOUT</v>
      </c>
      <c r="C233" s="58" t="s">
        <v>207</v>
      </c>
      <c r="D233" s="58" t="s">
        <v>300</v>
      </c>
      <c r="E233" s="11">
        <v>18.97</v>
      </c>
      <c r="F233" s="11">
        <v>18.97</v>
      </c>
      <c r="G233" s="11">
        <v>18.97</v>
      </c>
      <c r="H233" s="55"/>
      <c r="I233" s="14">
        <v>18.440000000000001</v>
      </c>
      <c r="J233" s="14">
        <v>18.440000000000001</v>
      </c>
      <c r="K233" s="14">
        <v>13.96</v>
      </c>
      <c r="L233" s="14">
        <v>0</v>
      </c>
      <c r="M233" s="14">
        <v>0</v>
      </c>
      <c r="N233" s="14">
        <v>4.38</v>
      </c>
      <c r="O233" s="14">
        <v>11.82</v>
      </c>
      <c r="P233" s="14">
        <v>0</v>
      </c>
      <c r="Q233" s="14">
        <v>0</v>
      </c>
      <c r="R233" s="14">
        <v>0</v>
      </c>
      <c r="S233" s="14">
        <v>0</v>
      </c>
      <c r="T233" s="14">
        <v>0</v>
      </c>
      <c r="U233" s="73">
        <f t="shared" si="146"/>
        <v>67.040000000000006</v>
      </c>
      <c r="W233" s="49">
        <f t="shared" si="131"/>
        <v>0.97206114918292053</v>
      </c>
      <c r="X233" s="49">
        <f t="shared" si="132"/>
        <v>0.97206114918292053</v>
      </c>
      <c r="Y233" s="49">
        <f t="shared" si="133"/>
        <v>0.73589878755930427</v>
      </c>
      <c r="Z233" s="49">
        <f t="shared" si="134"/>
        <v>0</v>
      </c>
      <c r="AA233" s="49">
        <f t="shared" si="135"/>
        <v>0</v>
      </c>
      <c r="AB233" s="49">
        <f t="shared" si="136"/>
        <v>0.23089088033737482</v>
      </c>
      <c r="AC233" s="49">
        <f t="shared" si="137"/>
        <v>0.62308908803373753</v>
      </c>
      <c r="AD233" s="49">
        <f t="shared" si="138"/>
        <v>0</v>
      </c>
      <c r="AE233" s="49">
        <f t="shared" si="139"/>
        <v>0</v>
      </c>
      <c r="AF233" s="49">
        <f t="shared" si="140"/>
        <v>0</v>
      </c>
      <c r="AG233" s="49">
        <f t="shared" si="141"/>
        <v>0</v>
      </c>
      <c r="AH233" s="49">
        <f t="shared" si="142"/>
        <v>0</v>
      </c>
      <c r="AI233" s="47">
        <f t="shared" si="147"/>
        <v>0.29450008785802145</v>
      </c>
      <c r="AJ233" s="134">
        <f t="shared" si="148"/>
        <v>3.5340010542962577</v>
      </c>
      <c r="AL233" s="134"/>
    </row>
    <row r="234" spans="2:38" s="45" customFormat="1" x14ac:dyDescent="0.2">
      <c r="B234" s="1" t="str">
        <f t="shared" si="151"/>
        <v>VanccommercialCROLLOUTEOW</v>
      </c>
      <c r="C234" s="58" t="s">
        <v>206</v>
      </c>
      <c r="D234" s="58" t="s">
        <v>299</v>
      </c>
      <c r="E234" s="11">
        <v>9.51</v>
      </c>
      <c r="F234" s="11">
        <v>9.51</v>
      </c>
      <c r="G234" s="11">
        <v>10</v>
      </c>
      <c r="H234" s="55"/>
      <c r="I234" s="14">
        <v>0</v>
      </c>
      <c r="J234" s="14">
        <v>0</v>
      </c>
      <c r="K234" s="14">
        <v>0</v>
      </c>
      <c r="L234" s="14">
        <v>0</v>
      </c>
      <c r="M234" s="14">
        <v>0</v>
      </c>
      <c r="N234" s="14">
        <v>0</v>
      </c>
      <c r="O234" s="14">
        <v>0</v>
      </c>
      <c r="P234" s="14">
        <v>0</v>
      </c>
      <c r="Q234" s="14">
        <v>0</v>
      </c>
      <c r="R234" s="14">
        <v>0</v>
      </c>
      <c r="S234" s="14">
        <v>0</v>
      </c>
      <c r="T234" s="14">
        <v>0</v>
      </c>
      <c r="U234" s="73">
        <f t="shared" si="146"/>
        <v>0</v>
      </c>
      <c r="W234" s="49">
        <f t="shared" si="131"/>
        <v>0</v>
      </c>
      <c r="X234" s="49">
        <f t="shared" si="132"/>
        <v>0</v>
      </c>
      <c r="Y234" s="49">
        <f t="shared" si="133"/>
        <v>0</v>
      </c>
      <c r="Z234" s="49">
        <f t="shared" si="134"/>
        <v>0</v>
      </c>
      <c r="AA234" s="49">
        <f t="shared" si="135"/>
        <v>0</v>
      </c>
      <c r="AB234" s="49">
        <f t="shared" si="136"/>
        <v>0</v>
      </c>
      <c r="AC234" s="49">
        <f t="shared" si="137"/>
        <v>0</v>
      </c>
      <c r="AD234" s="49">
        <f t="shared" si="138"/>
        <v>0</v>
      </c>
      <c r="AE234" s="49">
        <f t="shared" si="139"/>
        <v>0</v>
      </c>
      <c r="AF234" s="49">
        <f t="shared" si="140"/>
        <v>0</v>
      </c>
      <c r="AG234" s="49">
        <f t="shared" si="141"/>
        <v>0</v>
      </c>
      <c r="AH234" s="49">
        <f t="shared" si="142"/>
        <v>0</v>
      </c>
      <c r="AI234" s="47">
        <f t="shared" si="147"/>
        <v>0</v>
      </c>
      <c r="AJ234" s="134">
        <f t="shared" si="148"/>
        <v>0</v>
      </c>
      <c r="AL234" s="134"/>
    </row>
    <row r="235" spans="2:38" s="45" customFormat="1" x14ac:dyDescent="0.2">
      <c r="B235" s="1" t="str">
        <f t="shared" si="151"/>
        <v>VanccommercialVROLLOUT</v>
      </c>
      <c r="C235" s="58" t="s">
        <v>847</v>
      </c>
      <c r="D235" s="58" t="s">
        <v>300</v>
      </c>
      <c r="E235" s="11">
        <v>18.97</v>
      </c>
      <c r="F235" s="11">
        <v>18.97</v>
      </c>
      <c r="G235" s="11">
        <v>19.96</v>
      </c>
      <c r="H235" s="55"/>
      <c r="I235" s="14">
        <v>24718.449999999997</v>
      </c>
      <c r="J235" s="14">
        <v>25049.279999999999</v>
      </c>
      <c r="K235" s="14">
        <v>25241.329999999998</v>
      </c>
      <c r="L235" s="14">
        <v>26078.42</v>
      </c>
      <c r="M235" s="14">
        <v>26077.119999999999</v>
      </c>
      <c r="N235" s="14">
        <v>26105.160000000003</v>
      </c>
      <c r="O235" s="14">
        <v>26201.57</v>
      </c>
      <c r="P235" s="14">
        <v>26380.77</v>
      </c>
      <c r="Q235" s="14">
        <v>26252.7</v>
      </c>
      <c r="R235" s="14">
        <v>27722.1</v>
      </c>
      <c r="S235" s="14">
        <v>27807.899999999998</v>
      </c>
      <c r="T235" s="14">
        <v>27718.34</v>
      </c>
      <c r="U235" s="73">
        <f t="shared" si="146"/>
        <v>315353.14000000007</v>
      </c>
      <c r="W235" s="49">
        <f t="shared" si="131"/>
        <v>1303.0284659989456</v>
      </c>
      <c r="X235" s="49">
        <f t="shared" si="132"/>
        <v>1320.4681075382182</v>
      </c>
      <c r="Y235" s="49">
        <f t="shared" si="133"/>
        <v>1330.5919873484449</v>
      </c>
      <c r="Z235" s="49">
        <f t="shared" si="134"/>
        <v>1374.7190300474433</v>
      </c>
      <c r="AA235" s="49">
        <f t="shared" si="135"/>
        <v>1374.6505007907222</v>
      </c>
      <c r="AB235" s="49">
        <f t="shared" si="136"/>
        <v>1376.1286241433845</v>
      </c>
      <c r="AC235" s="49">
        <f t="shared" si="137"/>
        <v>1381.2108592514496</v>
      </c>
      <c r="AD235" s="49">
        <f t="shared" si="138"/>
        <v>1390.6573537163945</v>
      </c>
      <c r="AE235" s="49">
        <f t="shared" si="139"/>
        <v>1383.906167633105</v>
      </c>
      <c r="AF235" s="49">
        <f t="shared" si="140"/>
        <v>1388.882765531062</v>
      </c>
      <c r="AG235" s="49">
        <f t="shared" si="141"/>
        <v>1393.1813627254508</v>
      </c>
      <c r="AH235" s="49">
        <f t="shared" si="142"/>
        <v>1388.6943887775551</v>
      </c>
      <c r="AI235" s="47">
        <f t="shared" si="147"/>
        <v>1367.1766344585149</v>
      </c>
      <c r="AJ235" s="134">
        <f t="shared" si="148"/>
        <v>16406.119613502178</v>
      </c>
      <c r="AL235" s="134"/>
    </row>
    <row r="236" spans="2:38" s="45" customFormat="1" x14ac:dyDescent="0.2">
      <c r="B236" s="1" t="str">
        <f t="shared" si="151"/>
        <v>VanccommercialCTIME1M</v>
      </c>
      <c r="C236" s="58" t="s">
        <v>197</v>
      </c>
      <c r="D236" s="58" t="s">
        <v>102</v>
      </c>
      <c r="E236" s="11">
        <v>2.08</v>
      </c>
      <c r="F236" s="11">
        <v>2.08</v>
      </c>
      <c r="G236" s="11">
        <v>2.19</v>
      </c>
      <c r="H236" s="55"/>
      <c r="I236" s="14">
        <v>717.6</v>
      </c>
      <c r="J236" s="14">
        <v>1248</v>
      </c>
      <c r="K236" s="14">
        <v>343.2</v>
      </c>
      <c r="L236" s="14">
        <v>530.4</v>
      </c>
      <c r="M236" s="14">
        <v>561.6</v>
      </c>
      <c r="N236" s="14">
        <v>405.6</v>
      </c>
      <c r="O236" s="14">
        <v>499.2</v>
      </c>
      <c r="P236" s="14">
        <v>343.2</v>
      </c>
      <c r="Q236" s="14">
        <v>249.6</v>
      </c>
      <c r="R236" s="14">
        <v>131.4</v>
      </c>
      <c r="S236" s="14">
        <v>98.55</v>
      </c>
      <c r="T236" s="14">
        <v>262.8</v>
      </c>
      <c r="U236" s="73">
        <f t="shared" si="146"/>
        <v>5391.15</v>
      </c>
      <c r="W236" s="49">
        <f t="shared" si="131"/>
        <v>345</v>
      </c>
      <c r="X236" s="49">
        <f t="shared" si="132"/>
        <v>600</v>
      </c>
      <c r="Y236" s="49">
        <f t="shared" si="133"/>
        <v>165</v>
      </c>
      <c r="Z236" s="49">
        <f t="shared" si="134"/>
        <v>254.99999999999997</v>
      </c>
      <c r="AA236" s="49">
        <f t="shared" si="135"/>
        <v>270</v>
      </c>
      <c r="AB236" s="49">
        <f t="shared" si="136"/>
        <v>195</v>
      </c>
      <c r="AC236" s="49">
        <f t="shared" si="137"/>
        <v>240</v>
      </c>
      <c r="AD236" s="49">
        <f t="shared" si="138"/>
        <v>165</v>
      </c>
      <c r="AE236" s="49">
        <f t="shared" si="139"/>
        <v>120</v>
      </c>
      <c r="AF236" s="49">
        <f t="shared" si="140"/>
        <v>60.000000000000007</v>
      </c>
      <c r="AG236" s="49">
        <f t="shared" si="141"/>
        <v>45</v>
      </c>
      <c r="AH236" s="49">
        <f t="shared" si="142"/>
        <v>120.00000000000001</v>
      </c>
      <c r="AI236" s="47">
        <f t="shared" si="147"/>
        <v>215</v>
      </c>
      <c r="AJ236" s="134">
        <f t="shared" si="148"/>
        <v>2580</v>
      </c>
      <c r="AL236" s="134"/>
    </row>
    <row r="237" spans="2:38" s="45" customFormat="1" x14ac:dyDescent="0.2">
      <c r="B237" s="1" t="str">
        <f>"Vanc"&amp;"commercial"&amp;C237</f>
        <v>VanccommercialCTIME2M</v>
      </c>
      <c r="C237" s="58" t="s">
        <v>198</v>
      </c>
      <c r="D237" s="58" t="s">
        <v>103</v>
      </c>
      <c r="E237" s="11">
        <v>2.08</v>
      </c>
      <c r="F237" s="11">
        <v>2.08</v>
      </c>
      <c r="G237" s="11">
        <v>2.19</v>
      </c>
      <c r="H237" s="55"/>
      <c r="I237" s="14">
        <v>0</v>
      </c>
      <c r="J237" s="14">
        <v>0</v>
      </c>
      <c r="K237" s="14">
        <v>0</v>
      </c>
      <c r="L237" s="14">
        <v>0</v>
      </c>
      <c r="M237" s="14">
        <v>0</v>
      </c>
      <c r="N237" s="14">
        <v>0</v>
      </c>
      <c r="O237" s="14">
        <v>0</v>
      </c>
      <c r="P237" s="14">
        <v>0</v>
      </c>
      <c r="Q237" s="14">
        <v>0</v>
      </c>
      <c r="R237" s="14">
        <v>0</v>
      </c>
      <c r="S237" s="14">
        <v>32.85</v>
      </c>
      <c r="T237" s="14">
        <v>0</v>
      </c>
      <c r="U237" s="73">
        <f>SUM(I237:T237)</f>
        <v>32.85</v>
      </c>
      <c r="W237" s="49">
        <f t="shared" si="131"/>
        <v>0</v>
      </c>
      <c r="X237" s="49">
        <f t="shared" si="132"/>
        <v>0</v>
      </c>
      <c r="Y237" s="49">
        <f t="shared" si="133"/>
        <v>0</v>
      </c>
      <c r="Z237" s="49">
        <f t="shared" si="134"/>
        <v>0</v>
      </c>
      <c r="AA237" s="49">
        <f t="shared" si="135"/>
        <v>0</v>
      </c>
      <c r="AB237" s="49">
        <f t="shared" si="136"/>
        <v>0</v>
      </c>
      <c r="AC237" s="49">
        <f t="shared" si="137"/>
        <v>0</v>
      </c>
      <c r="AD237" s="49">
        <f t="shared" si="138"/>
        <v>0</v>
      </c>
      <c r="AE237" s="49">
        <f t="shared" si="139"/>
        <v>0</v>
      </c>
      <c r="AF237" s="49">
        <f t="shared" si="140"/>
        <v>0</v>
      </c>
      <c r="AG237" s="49">
        <f t="shared" si="141"/>
        <v>15.000000000000002</v>
      </c>
      <c r="AH237" s="49">
        <f t="shared" si="142"/>
        <v>0</v>
      </c>
      <c r="AI237" s="47">
        <f>+IFERROR(AVERAGE(W237:AH237),0)</f>
        <v>1.2500000000000002</v>
      </c>
      <c r="AJ237" s="134">
        <f>SUM(W237:AH237)</f>
        <v>15.000000000000002</v>
      </c>
      <c r="AL237" s="134"/>
    </row>
    <row r="238" spans="2:38" s="45" customFormat="1" x14ac:dyDescent="0.2">
      <c r="B238" s="1" t="str">
        <f t="shared" si="151"/>
        <v>VanccommercialCRTRIP</v>
      </c>
      <c r="C238" s="58" t="s">
        <v>200</v>
      </c>
      <c r="D238" s="58" t="s">
        <v>106</v>
      </c>
      <c r="E238" s="11">
        <v>13.15</v>
      </c>
      <c r="F238" s="11">
        <v>13.15</v>
      </c>
      <c r="G238" s="11">
        <v>13.85</v>
      </c>
      <c r="H238" s="55"/>
      <c r="I238" s="14">
        <v>26.3</v>
      </c>
      <c r="J238" s="14">
        <v>0</v>
      </c>
      <c r="K238" s="14">
        <v>39.450000000000003</v>
      </c>
      <c r="L238" s="14">
        <v>26.3</v>
      </c>
      <c r="M238" s="14">
        <v>52.6</v>
      </c>
      <c r="N238" s="14">
        <v>0</v>
      </c>
      <c r="O238" s="14">
        <v>39.450000000000003</v>
      </c>
      <c r="P238" s="14">
        <v>13.15</v>
      </c>
      <c r="Q238" s="14">
        <v>26.3</v>
      </c>
      <c r="R238" s="14">
        <v>0</v>
      </c>
      <c r="S238" s="14">
        <v>13.85</v>
      </c>
      <c r="T238" s="14">
        <v>13.85</v>
      </c>
      <c r="U238" s="73">
        <f t="shared" si="146"/>
        <v>251.25000000000003</v>
      </c>
      <c r="W238" s="49">
        <f t="shared" si="131"/>
        <v>2</v>
      </c>
      <c r="X238" s="49">
        <f t="shared" si="132"/>
        <v>0</v>
      </c>
      <c r="Y238" s="49">
        <f t="shared" si="133"/>
        <v>3</v>
      </c>
      <c r="Z238" s="49">
        <f t="shared" si="134"/>
        <v>2</v>
      </c>
      <c r="AA238" s="49">
        <f t="shared" si="135"/>
        <v>4</v>
      </c>
      <c r="AB238" s="49">
        <f t="shared" si="136"/>
        <v>0</v>
      </c>
      <c r="AC238" s="49">
        <f t="shared" si="137"/>
        <v>3</v>
      </c>
      <c r="AD238" s="49">
        <f t="shared" si="138"/>
        <v>1</v>
      </c>
      <c r="AE238" s="49">
        <f t="shared" si="139"/>
        <v>2</v>
      </c>
      <c r="AF238" s="49">
        <f t="shared" si="140"/>
        <v>0</v>
      </c>
      <c r="AG238" s="49">
        <f t="shared" si="141"/>
        <v>1</v>
      </c>
      <c r="AH238" s="49">
        <f t="shared" si="142"/>
        <v>1</v>
      </c>
      <c r="AI238" s="47">
        <f t="shared" si="147"/>
        <v>1.5833333333333333</v>
      </c>
      <c r="AJ238" s="134">
        <f t="shared" si="148"/>
        <v>19</v>
      </c>
      <c r="AL238" s="134"/>
    </row>
    <row r="239" spans="2:38" s="45" customFormat="1" x14ac:dyDescent="0.2">
      <c r="B239" s="1" t="str">
        <f t="shared" si="151"/>
        <v>VanccommercialCCTRIP</v>
      </c>
      <c r="C239" s="58" t="s">
        <v>199</v>
      </c>
      <c r="D239" s="58" t="s">
        <v>293</v>
      </c>
      <c r="E239" s="11">
        <v>19.28</v>
      </c>
      <c r="F239" s="11">
        <v>19.28</v>
      </c>
      <c r="G239" s="11">
        <v>20.309999999999999</v>
      </c>
      <c r="H239" s="55"/>
      <c r="I239" s="14">
        <v>289.2</v>
      </c>
      <c r="J239" s="14">
        <v>366.32</v>
      </c>
      <c r="K239" s="14">
        <v>347.04</v>
      </c>
      <c r="L239" s="14">
        <v>212.08</v>
      </c>
      <c r="M239" s="14">
        <v>308.48</v>
      </c>
      <c r="N239" s="14">
        <v>308.48</v>
      </c>
      <c r="O239" s="14">
        <v>231.36</v>
      </c>
      <c r="P239" s="14">
        <v>289.2</v>
      </c>
      <c r="Q239" s="14">
        <v>231.36</v>
      </c>
      <c r="R239" s="14">
        <v>321.87</v>
      </c>
      <c r="S239" s="14">
        <v>345.27</v>
      </c>
      <c r="T239" s="14">
        <v>162.47999999999999</v>
      </c>
      <c r="U239" s="73">
        <f t="shared" si="146"/>
        <v>3413.14</v>
      </c>
      <c r="W239" s="49">
        <f t="shared" si="131"/>
        <v>14.999999999999998</v>
      </c>
      <c r="X239" s="49">
        <f t="shared" si="132"/>
        <v>19</v>
      </c>
      <c r="Y239" s="49">
        <f t="shared" si="133"/>
        <v>18</v>
      </c>
      <c r="Z239" s="49">
        <f t="shared" si="134"/>
        <v>11</v>
      </c>
      <c r="AA239" s="49">
        <f t="shared" si="135"/>
        <v>16</v>
      </c>
      <c r="AB239" s="49">
        <f t="shared" si="136"/>
        <v>16</v>
      </c>
      <c r="AC239" s="49">
        <f t="shared" si="137"/>
        <v>12</v>
      </c>
      <c r="AD239" s="49">
        <f t="shared" si="138"/>
        <v>14.999999999999998</v>
      </c>
      <c r="AE239" s="49">
        <f t="shared" si="139"/>
        <v>12</v>
      </c>
      <c r="AF239" s="49">
        <f t="shared" si="140"/>
        <v>15.847858197932055</v>
      </c>
      <c r="AG239" s="49">
        <f t="shared" si="141"/>
        <v>17</v>
      </c>
      <c r="AH239" s="49">
        <f t="shared" si="142"/>
        <v>8</v>
      </c>
      <c r="AI239" s="47">
        <f t="shared" si="147"/>
        <v>14.570654849827671</v>
      </c>
      <c r="AJ239" s="134">
        <f t="shared" si="148"/>
        <v>174.84785819793206</v>
      </c>
      <c r="AL239" s="134"/>
    </row>
    <row r="240" spans="2:38" s="45" customFormat="1" x14ac:dyDescent="0.2">
      <c r="B240" s="1" t="str">
        <f t="shared" si="151"/>
        <v>VanccommercialRCSP4Y</v>
      </c>
      <c r="C240" s="58" t="s">
        <v>1063</v>
      </c>
      <c r="D240" s="58" t="s">
        <v>258</v>
      </c>
      <c r="E240" s="11">
        <v>27.94</v>
      </c>
      <c r="F240" s="11">
        <v>27.94</v>
      </c>
      <c r="G240" s="11">
        <v>29.41</v>
      </c>
      <c r="H240" s="55"/>
      <c r="I240" s="14">
        <v>0</v>
      </c>
      <c r="J240" s="14">
        <v>0</v>
      </c>
      <c r="K240" s="14">
        <v>0</v>
      </c>
      <c r="L240" s="14">
        <v>0</v>
      </c>
      <c r="M240" s="14">
        <v>55.88</v>
      </c>
      <c r="N240" s="14">
        <v>0</v>
      </c>
      <c r="O240" s="14">
        <v>0</v>
      </c>
      <c r="P240" s="14">
        <v>0</v>
      </c>
      <c r="Q240" s="14">
        <v>0</v>
      </c>
      <c r="R240" s="14">
        <v>0</v>
      </c>
      <c r="S240" s="14">
        <v>0</v>
      </c>
      <c r="T240" s="14">
        <v>0</v>
      </c>
      <c r="U240" s="73">
        <f t="shared" si="146"/>
        <v>55.88</v>
      </c>
      <c r="W240" s="49">
        <f t="shared" si="131"/>
        <v>0</v>
      </c>
      <c r="X240" s="49">
        <f t="shared" si="132"/>
        <v>0</v>
      </c>
      <c r="Y240" s="49">
        <f t="shared" si="133"/>
        <v>0</v>
      </c>
      <c r="Z240" s="49">
        <f t="shared" si="134"/>
        <v>0</v>
      </c>
      <c r="AA240" s="49">
        <f t="shared" si="135"/>
        <v>2</v>
      </c>
      <c r="AB240" s="49">
        <f t="shared" si="136"/>
        <v>0</v>
      </c>
      <c r="AC240" s="49">
        <f t="shared" si="137"/>
        <v>0</v>
      </c>
      <c r="AD240" s="49">
        <f t="shared" si="138"/>
        <v>0</v>
      </c>
      <c r="AE240" s="49">
        <f t="shared" si="139"/>
        <v>0</v>
      </c>
      <c r="AF240" s="49">
        <f t="shared" si="140"/>
        <v>0</v>
      </c>
      <c r="AG240" s="49">
        <f t="shared" si="141"/>
        <v>0</v>
      </c>
      <c r="AH240" s="49">
        <f t="shared" si="142"/>
        <v>0</v>
      </c>
      <c r="AI240" s="47">
        <f t="shared" si="147"/>
        <v>0.16666666666666666</v>
      </c>
      <c r="AJ240" s="134">
        <f t="shared" si="148"/>
        <v>2</v>
      </c>
      <c r="AL240" s="134"/>
    </row>
    <row r="241" spans="2:38" s="45" customFormat="1" x14ac:dyDescent="0.2">
      <c r="B241" s="1" t="str">
        <f>"Vanc"&amp;"commercial"&amp;C241</f>
        <v>VanccommercialRCSP2Y</v>
      </c>
      <c r="C241" s="58" t="s">
        <v>1028</v>
      </c>
      <c r="D241" s="58" t="s">
        <v>255</v>
      </c>
      <c r="E241" s="11">
        <v>13.97</v>
      </c>
      <c r="F241" s="11">
        <v>13.97</v>
      </c>
      <c r="G241" s="11">
        <v>14.71</v>
      </c>
      <c r="H241" s="55"/>
      <c r="I241" s="14">
        <v>0</v>
      </c>
      <c r="J241" s="14">
        <v>0</v>
      </c>
      <c r="K241" s="14">
        <v>0</v>
      </c>
      <c r="L241" s="14">
        <v>0</v>
      </c>
      <c r="M241" s="14">
        <v>13.97</v>
      </c>
      <c r="N241" s="14">
        <v>13.97</v>
      </c>
      <c r="O241" s="14">
        <v>13.97</v>
      </c>
      <c r="P241" s="14">
        <v>13.97</v>
      </c>
      <c r="Q241" s="14">
        <v>13.97</v>
      </c>
      <c r="R241" s="14">
        <v>14.71</v>
      </c>
      <c r="S241" s="14">
        <v>-84.56</v>
      </c>
      <c r="T241" s="14">
        <v>0</v>
      </c>
      <c r="U241" s="73">
        <f>SUM(I241:T241)</f>
        <v>0</v>
      </c>
      <c r="W241" s="49">
        <f t="shared" si="131"/>
        <v>0</v>
      </c>
      <c r="X241" s="49">
        <f t="shared" si="132"/>
        <v>0</v>
      </c>
      <c r="Y241" s="49">
        <f t="shared" si="133"/>
        <v>0</v>
      </c>
      <c r="Z241" s="49">
        <f t="shared" si="134"/>
        <v>0</v>
      </c>
      <c r="AA241" s="49">
        <f t="shared" si="135"/>
        <v>1</v>
      </c>
      <c r="AB241" s="49">
        <f t="shared" si="136"/>
        <v>1</v>
      </c>
      <c r="AC241" s="49">
        <f t="shared" si="137"/>
        <v>1</v>
      </c>
      <c r="AD241" s="49">
        <f t="shared" si="138"/>
        <v>1</v>
      </c>
      <c r="AE241" s="49">
        <f t="shared" si="139"/>
        <v>1</v>
      </c>
      <c r="AF241" s="49">
        <f t="shared" si="140"/>
        <v>1</v>
      </c>
      <c r="AG241" s="49">
        <f t="shared" si="141"/>
        <v>-5.7484704282800818</v>
      </c>
      <c r="AH241" s="49">
        <f t="shared" si="142"/>
        <v>0</v>
      </c>
      <c r="AI241" s="47">
        <f>+IFERROR(AVERAGE(W241:AH241),0)</f>
        <v>2.0960797643326517E-2</v>
      </c>
      <c r="AJ241" s="134">
        <f>SUM(W241:AH241)</f>
        <v>0.25152957171991819</v>
      </c>
      <c r="AL241" s="134"/>
    </row>
    <row r="242" spans="2:38" s="45" customFormat="1" x14ac:dyDescent="0.2">
      <c r="B242" s="1" t="str">
        <f t="shared" si="151"/>
        <v>VanccommercialRCSP15Y</v>
      </c>
      <c r="C242" s="58" t="s">
        <v>1062</v>
      </c>
      <c r="D242" s="58" t="s">
        <v>254</v>
      </c>
      <c r="E242" s="11">
        <v>10.48</v>
      </c>
      <c r="F242" s="11">
        <v>10.48</v>
      </c>
      <c r="G242" s="11">
        <v>11.03</v>
      </c>
      <c r="H242" s="55"/>
      <c r="I242" s="14">
        <v>0</v>
      </c>
      <c r="J242" s="14">
        <v>0</v>
      </c>
      <c r="K242" s="14">
        <v>0</v>
      </c>
      <c r="L242" s="14">
        <v>0</v>
      </c>
      <c r="M242" s="14">
        <v>0</v>
      </c>
      <c r="N242" s="14">
        <v>0</v>
      </c>
      <c r="O242" s="14">
        <v>0</v>
      </c>
      <c r="P242" s="14">
        <v>0</v>
      </c>
      <c r="Q242" s="14">
        <v>0</v>
      </c>
      <c r="R242" s="14">
        <v>0</v>
      </c>
      <c r="S242" s="14">
        <v>0</v>
      </c>
      <c r="T242" s="14">
        <v>0</v>
      </c>
      <c r="U242" s="73">
        <f t="shared" si="146"/>
        <v>0</v>
      </c>
      <c r="W242" s="49">
        <f t="shared" si="131"/>
        <v>0</v>
      </c>
      <c r="X242" s="49">
        <f t="shared" si="132"/>
        <v>0</v>
      </c>
      <c r="Y242" s="49">
        <f t="shared" si="133"/>
        <v>0</v>
      </c>
      <c r="Z242" s="49">
        <f t="shared" si="134"/>
        <v>0</v>
      </c>
      <c r="AA242" s="49">
        <f t="shared" si="135"/>
        <v>0</v>
      </c>
      <c r="AB242" s="49">
        <f t="shared" si="136"/>
        <v>0</v>
      </c>
      <c r="AC242" s="49">
        <f t="shared" si="137"/>
        <v>0</v>
      </c>
      <c r="AD242" s="49">
        <f t="shared" si="138"/>
        <v>0</v>
      </c>
      <c r="AE242" s="49">
        <f t="shared" si="139"/>
        <v>0</v>
      </c>
      <c r="AF242" s="49">
        <f t="shared" si="140"/>
        <v>0</v>
      </c>
      <c r="AG242" s="49">
        <f t="shared" si="141"/>
        <v>0</v>
      </c>
      <c r="AH242" s="49">
        <f t="shared" si="142"/>
        <v>0</v>
      </c>
      <c r="AI242" s="47">
        <f t="shared" si="147"/>
        <v>0</v>
      </c>
      <c r="AJ242" s="134">
        <f t="shared" si="148"/>
        <v>0</v>
      </c>
      <c r="AL242" s="134"/>
    </row>
    <row r="243" spans="2:38" s="45" customFormat="1" x14ac:dyDescent="0.2">
      <c r="B243" s="1" t="str">
        <f t="shared" si="151"/>
        <v>VanccommercialWCPLACE</v>
      </c>
      <c r="C243" s="58" t="s">
        <v>974</v>
      </c>
      <c r="D243" s="58" t="s">
        <v>274</v>
      </c>
      <c r="E243" s="11">
        <v>35.08</v>
      </c>
      <c r="F243" s="11">
        <v>35.08</v>
      </c>
      <c r="G243" s="11">
        <v>36.96</v>
      </c>
      <c r="H243" s="55"/>
      <c r="I243" s="14">
        <v>0</v>
      </c>
      <c r="J243" s="14">
        <v>0</v>
      </c>
      <c r="K243" s="14">
        <v>0</v>
      </c>
      <c r="L243" s="14">
        <v>0</v>
      </c>
      <c r="M243" s="14">
        <v>0</v>
      </c>
      <c r="N243" s="14">
        <v>0</v>
      </c>
      <c r="O243" s="14">
        <v>0</v>
      </c>
      <c r="P243" s="14">
        <v>0</v>
      </c>
      <c r="Q243" s="14">
        <v>0</v>
      </c>
      <c r="R243" s="14">
        <v>0</v>
      </c>
      <c r="S243" s="14">
        <v>36.96</v>
      </c>
      <c r="T243" s="14">
        <v>0</v>
      </c>
      <c r="U243" s="73">
        <f t="shared" si="146"/>
        <v>36.96</v>
      </c>
      <c r="W243" s="49">
        <f t="shared" si="131"/>
        <v>0</v>
      </c>
      <c r="X243" s="49">
        <f t="shared" si="132"/>
        <v>0</v>
      </c>
      <c r="Y243" s="49">
        <f t="shared" si="133"/>
        <v>0</v>
      </c>
      <c r="Z243" s="49">
        <f t="shared" si="134"/>
        <v>0</v>
      </c>
      <c r="AA243" s="49">
        <f t="shared" si="135"/>
        <v>0</v>
      </c>
      <c r="AB243" s="49">
        <f t="shared" si="136"/>
        <v>0</v>
      </c>
      <c r="AC243" s="49">
        <f t="shared" si="137"/>
        <v>0</v>
      </c>
      <c r="AD243" s="49">
        <f t="shared" si="138"/>
        <v>0</v>
      </c>
      <c r="AE243" s="49">
        <f t="shared" si="139"/>
        <v>0</v>
      </c>
      <c r="AF243" s="49">
        <f t="shared" si="140"/>
        <v>0</v>
      </c>
      <c r="AG243" s="49">
        <f t="shared" si="141"/>
        <v>1</v>
      </c>
      <c r="AH243" s="49">
        <f t="shared" si="142"/>
        <v>0</v>
      </c>
      <c r="AI243" s="47">
        <f t="shared" si="147"/>
        <v>8.3333333333333329E-2</v>
      </c>
      <c r="AJ243" s="134">
        <f t="shared" si="148"/>
        <v>1</v>
      </c>
      <c r="AL243" s="134"/>
    </row>
    <row r="244" spans="2:38" s="45" customFormat="1" x14ac:dyDescent="0.2">
      <c r="B244" s="1" t="str">
        <f>"Vanc"&amp;"commercial"&amp;C244</f>
        <v>VanccommercialRCRMV</v>
      </c>
      <c r="C244" s="58" t="s">
        <v>1021</v>
      </c>
      <c r="D244" s="58" t="s">
        <v>1022</v>
      </c>
      <c r="E244" s="11">
        <v>0</v>
      </c>
      <c r="F244" s="11">
        <v>35.08</v>
      </c>
      <c r="G244" s="11">
        <v>35.08</v>
      </c>
      <c r="H244" s="55"/>
      <c r="I244" s="14">
        <v>0</v>
      </c>
      <c r="J244" s="14">
        <v>0</v>
      </c>
      <c r="K244" s="14">
        <v>35.08</v>
      </c>
      <c r="L244" s="14">
        <v>0</v>
      </c>
      <c r="M244" s="14">
        <v>0</v>
      </c>
      <c r="N244" s="14">
        <v>0</v>
      </c>
      <c r="O244" s="14">
        <v>0</v>
      </c>
      <c r="P244" s="14">
        <v>0</v>
      </c>
      <c r="Q244" s="14">
        <v>0</v>
      </c>
      <c r="R244" s="14">
        <v>0</v>
      </c>
      <c r="S244" s="14">
        <v>0</v>
      </c>
      <c r="T244" s="14">
        <v>0</v>
      </c>
      <c r="U244" s="73">
        <f>SUM(I244:T244)</f>
        <v>35.08</v>
      </c>
      <c r="W244" s="49">
        <f t="shared" si="131"/>
        <v>0</v>
      </c>
      <c r="X244" s="49">
        <f t="shared" si="132"/>
        <v>0</v>
      </c>
      <c r="Y244" s="49">
        <f t="shared" si="133"/>
        <v>0</v>
      </c>
      <c r="Z244" s="49">
        <f t="shared" si="134"/>
        <v>0</v>
      </c>
      <c r="AA244" s="49">
        <f t="shared" si="135"/>
        <v>0</v>
      </c>
      <c r="AB244" s="49">
        <f t="shared" si="136"/>
        <v>0</v>
      </c>
      <c r="AC244" s="49">
        <f t="shared" si="137"/>
        <v>0</v>
      </c>
      <c r="AD244" s="49">
        <f t="shared" si="138"/>
        <v>0</v>
      </c>
      <c r="AE244" s="49">
        <f t="shared" si="139"/>
        <v>0</v>
      </c>
      <c r="AF244" s="49">
        <f t="shared" si="140"/>
        <v>0</v>
      </c>
      <c r="AG244" s="49">
        <f t="shared" si="141"/>
        <v>0</v>
      </c>
      <c r="AH244" s="49">
        <f t="shared" si="142"/>
        <v>0</v>
      </c>
      <c r="AI244" s="47">
        <f>+IFERROR(AVERAGE(W244:AH244),0)</f>
        <v>0</v>
      </c>
      <c r="AJ244" s="134">
        <f>SUM(W244:AH244)</f>
        <v>0</v>
      </c>
      <c r="AL244" s="134"/>
    </row>
    <row r="245" spans="2:38" s="45" customFormat="1" x14ac:dyDescent="0.2">
      <c r="B245" s="1" t="str">
        <f t="shared" si="151"/>
        <v>VanccommercialRCOF</v>
      </c>
      <c r="C245" s="58" t="s">
        <v>176</v>
      </c>
      <c r="D245" s="58" t="s">
        <v>272</v>
      </c>
      <c r="E245" s="11">
        <v>19.89</v>
      </c>
      <c r="F245" s="11">
        <v>19.89</v>
      </c>
      <c r="G245" s="11">
        <v>21.25</v>
      </c>
      <c r="H245" s="55"/>
      <c r="I245" s="14">
        <v>0</v>
      </c>
      <c r="J245" s="14">
        <v>0</v>
      </c>
      <c r="K245" s="14">
        <v>0</v>
      </c>
      <c r="L245" s="14">
        <v>0</v>
      </c>
      <c r="M245" s="14">
        <v>0</v>
      </c>
      <c r="N245" s="14">
        <v>0</v>
      </c>
      <c r="O245" s="14">
        <v>0</v>
      </c>
      <c r="P245" s="14">
        <v>0</v>
      </c>
      <c r="Q245" s="14">
        <v>0</v>
      </c>
      <c r="R245" s="14">
        <v>0</v>
      </c>
      <c r="S245" s="14">
        <v>0</v>
      </c>
      <c r="T245" s="14">
        <v>0</v>
      </c>
      <c r="U245" s="73">
        <f t="shared" si="146"/>
        <v>0</v>
      </c>
      <c r="W245" s="49">
        <f t="shared" si="131"/>
        <v>0</v>
      </c>
      <c r="X245" s="49">
        <f t="shared" si="132"/>
        <v>0</v>
      </c>
      <c r="Y245" s="49">
        <f t="shared" si="133"/>
        <v>0</v>
      </c>
      <c r="Z245" s="49">
        <f t="shared" si="134"/>
        <v>0</v>
      </c>
      <c r="AA245" s="49">
        <f t="shared" si="135"/>
        <v>0</v>
      </c>
      <c r="AB245" s="49">
        <f t="shared" si="136"/>
        <v>0</v>
      </c>
      <c r="AC245" s="49">
        <f t="shared" si="137"/>
        <v>0</v>
      </c>
      <c r="AD245" s="49">
        <f t="shared" si="138"/>
        <v>0</v>
      </c>
      <c r="AE245" s="49">
        <f t="shared" si="139"/>
        <v>0</v>
      </c>
      <c r="AF245" s="49">
        <f t="shared" si="140"/>
        <v>0</v>
      </c>
      <c r="AG245" s="49">
        <f t="shared" si="141"/>
        <v>0</v>
      </c>
      <c r="AH245" s="49">
        <f t="shared" si="142"/>
        <v>0</v>
      </c>
      <c r="AI245" s="47">
        <f t="shared" si="147"/>
        <v>0</v>
      </c>
      <c r="AJ245" s="134">
        <f t="shared" si="148"/>
        <v>0</v>
      </c>
      <c r="AL245" s="134"/>
    </row>
    <row r="246" spans="2:38" s="45" customFormat="1" x14ac:dyDescent="0.2">
      <c r="B246" s="1" t="str">
        <f t="shared" si="151"/>
        <v>VanccommercialCWSAN 1-5</v>
      </c>
      <c r="C246" s="58" t="s">
        <v>203</v>
      </c>
      <c r="D246" s="58" t="s">
        <v>296</v>
      </c>
      <c r="E246" s="11">
        <v>52.63</v>
      </c>
      <c r="F246" s="11">
        <v>52.63</v>
      </c>
      <c r="G246" s="11">
        <v>55.45</v>
      </c>
      <c r="H246" s="55"/>
      <c r="I246" s="14">
        <v>0</v>
      </c>
      <c r="J246" s="14">
        <v>0</v>
      </c>
      <c r="K246" s="14">
        <v>368.41</v>
      </c>
      <c r="L246" s="14">
        <v>0</v>
      </c>
      <c r="M246" s="14">
        <v>52.63</v>
      </c>
      <c r="N246" s="14">
        <v>105.26</v>
      </c>
      <c r="O246" s="14">
        <v>0</v>
      </c>
      <c r="P246" s="14">
        <v>105.26</v>
      </c>
      <c r="Q246" s="14">
        <v>44.58</v>
      </c>
      <c r="R246" s="14">
        <v>0</v>
      </c>
      <c r="S246" s="14">
        <v>0</v>
      </c>
      <c r="T246" s="14">
        <v>55.45</v>
      </c>
      <c r="U246" s="73">
        <f t="shared" si="146"/>
        <v>731.59000000000015</v>
      </c>
      <c r="W246" s="49">
        <f t="shared" si="131"/>
        <v>0</v>
      </c>
      <c r="X246" s="49">
        <f t="shared" si="132"/>
        <v>0</v>
      </c>
      <c r="Y246" s="49">
        <f t="shared" si="133"/>
        <v>7</v>
      </c>
      <c r="Z246" s="49">
        <f t="shared" si="134"/>
        <v>0</v>
      </c>
      <c r="AA246" s="49">
        <f t="shared" si="135"/>
        <v>1</v>
      </c>
      <c r="AB246" s="49">
        <f t="shared" si="136"/>
        <v>2</v>
      </c>
      <c r="AC246" s="49">
        <f t="shared" si="137"/>
        <v>0</v>
      </c>
      <c r="AD246" s="49">
        <f t="shared" si="138"/>
        <v>2</v>
      </c>
      <c r="AE246" s="49">
        <f t="shared" si="139"/>
        <v>0.84704541136234079</v>
      </c>
      <c r="AF246" s="49">
        <f t="shared" si="140"/>
        <v>0</v>
      </c>
      <c r="AG246" s="49">
        <f t="shared" si="141"/>
        <v>0</v>
      </c>
      <c r="AH246" s="49">
        <f t="shared" si="142"/>
        <v>1</v>
      </c>
      <c r="AI246" s="47">
        <f t="shared" si="147"/>
        <v>1.1539204509468617</v>
      </c>
      <c r="AJ246" s="134">
        <f t="shared" si="148"/>
        <v>13.847045411362341</v>
      </c>
      <c r="AL246" s="134"/>
    </row>
    <row r="247" spans="2:38" s="45" customFormat="1" x14ac:dyDescent="0.2">
      <c r="B247" s="1" t="str">
        <f t="shared" si="151"/>
        <v>VanccommercialCWSAN8</v>
      </c>
      <c r="C247" s="58" t="s">
        <v>850</v>
      </c>
      <c r="D247" s="58" t="s">
        <v>877</v>
      </c>
      <c r="E247" s="11">
        <v>52.63</v>
      </c>
      <c r="F247" s="11">
        <v>52.63</v>
      </c>
      <c r="G247" s="11">
        <v>55.45</v>
      </c>
      <c r="H247" s="55"/>
      <c r="I247" s="14">
        <v>0</v>
      </c>
      <c r="J247" s="14">
        <v>0</v>
      </c>
      <c r="K247" s="14">
        <v>0</v>
      </c>
      <c r="L247" s="14">
        <v>0</v>
      </c>
      <c r="M247" s="14">
        <v>0</v>
      </c>
      <c r="N247" s="14">
        <v>0</v>
      </c>
      <c r="O247" s="14">
        <v>0</v>
      </c>
      <c r="P247" s="14">
        <v>0</v>
      </c>
      <c r="Q247" s="14">
        <v>0</v>
      </c>
      <c r="R247" s="14">
        <v>0</v>
      </c>
      <c r="S247" s="14">
        <v>0</v>
      </c>
      <c r="T247" s="14">
        <v>0</v>
      </c>
      <c r="U247" s="73">
        <f t="shared" si="146"/>
        <v>0</v>
      </c>
      <c r="W247" s="49">
        <f t="shared" si="131"/>
        <v>0</v>
      </c>
      <c r="X247" s="49">
        <f t="shared" si="132"/>
        <v>0</v>
      </c>
      <c r="Y247" s="49">
        <f t="shared" si="133"/>
        <v>0</v>
      </c>
      <c r="Z247" s="49">
        <f t="shared" si="134"/>
        <v>0</v>
      </c>
      <c r="AA247" s="49">
        <f t="shared" si="135"/>
        <v>0</v>
      </c>
      <c r="AB247" s="49">
        <f t="shared" si="136"/>
        <v>0</v>
      </c>
      <c r="AC247" s="49">
        <f t="shared" si="137"/>
        <v>0</v>
      </c>
      <c r="AD247" s="49">
        <f t="shared" si="138"/>
        <v>0</v>
      </c>
      <c r="AE247" s="49">
        <f t="shared" si="139"/>
        <v>0</v>
      </c>
      <c r="AF247" s="49">
        <f t="shared" si="140"/>
        <v>0</v>
      </c>
      <c r="AG247" s="49">
        <f t="shared" si="141"/>
        <v>0</v>
      </c>
      <c r="AH247" s="49">
        <f t="shared" si="142"/>
        <v>0</v>
      </c>
      <c r="AI247" s="47">
        <f t="shared" si="147"/>
        <v>0</v>
      </c>
      <c r="AJ247" s="134">
        <f t="shared" si="148"/>
        <v>0</v>
      </c>
      <c r="AL247" s="134"/>
    </row>
    <row r="248" spans="2:38" s="45" customFormat="1" x14ac:dyDescent="0.2">
      <c r="B248" s="1" t="str">
        <f>"Vanc"&amp;"commercial"&amp;C248</f>
        <v>VanccommercialSSVC2Y5W</v>
      </c>
      <c r="C248" s="61" t="s">
        <v>1309</v>
      </c>
      <c r="D248" s="58" t="s">
        <v>1312</v>
      </c>
      <c r="E248" s="11">
        <v>1037.3900000000001</v>
      </c>
      <c r="F248" s="11">
        <v>1037.3900000000001</v>
      </c>
      <c r="G248" s="11">
        <v>1108.54</v>
      </c>
      <c r="H248" s="55"/>
      <c r="I248" s="14">
        <v>0</v>
      </c>
      <c r="J248" s="14">
        <v>0</v>
      </c>
      <c r="K248" s="14">
        <v>0</v>
      </c>
      <c r="L248" s="14">
        <v>0</v>
      </c>
      <c r="M248" s="14">
        <v>0</v>
      </c>
      <c r="N248" s="14">
        <v>259.35000000000002</v>
      </c>
      <c r="O248" s="14">
        <v>1037.3900000000001</v>
      </c>
      <c r="P248" s="14">
        <v>1037.3900000000001</v>
      </c>
      <c r="Q248" s="14">
        <v>1037.3900000000001</v>
      </c>
      <c r="R248" s="14">
        <v>1108.54</v>
      </c>
      <c r="S248" s="14">
        <v>1108.54</v>
      </c>
      <c r="T248" s="14">
        <v>1108.54</v>
      </c>
      <c r="U248" s="73">
        <f t="shared" si="146"/>
        <v>6697.14</v>
      </c>
      <c r="W248" s="49">
        <f t="shared" si="131"/>
        <v>0</v>
      </c>
      <c r="X248" s="49">
        <f t="shared" si="132"/>
        <v>0</v>
      </c>
      <c r="Y248" s="49">
        <f t="shared" si="133"/>
        <v>0</v>
      </c>
      <c r="Z248" s="49">
        <f t="shared" si="134"/>
        <v>0</v>
      </c>
      <c r="AA248" s="49">
        <f t="shared" si="135"/>
        <v>0</v>
      </c>
      <c r="AB248" s="49">
        <f t="shared" si="136"/>
        <v>0.25000240989406103</v>
      </c>
      <c r="AC248" s="49">
        <f t="shared" si="137"/>
        <v>1</v>
      </c>
      <c r="AD248" s="49">
        <f t="shared" si="138"/>
        <v>1</v>
      </c>
      <c r="AE248" s="49">
        <f t="shared" si="139"/>
        <v>1</v>
      </c>
      <c r="AF248" s="49">
        <f t="shared" si="140"/>
        <v>1</v>
      </c>
      <c r="AG248" s="49">
        <f t="shared" si="141"/>
        <v>1</v>
      </c>
      <c r="AH248" s="49">
        <f t="shared" si="142"/>
        <v>1</v>
      </c>
      <c r="AI248" s="47">
        <f t="shared" si="147"/>
        <v>0.5208335341578384</v>
      </c>
      <c r="AJ248" s="134">
        <f t="shared" si="148"/>
        <v>6.2500024098940612</v>
      </c>
      <c r="AL248" s="134"/>
    </row>
    <row r="249" spans="2:38" s="45" customFormat="1" x14ac:dyDescent="0.2">
      <c r="B249" s="1" t="str">
        <f t="shared" si="151"/>
        <v>VanccommercialSSVC2Y4W</v>
      </c>
      <c r="C249" s="61" t="s">
        <v>1308</v>
      </c>
      <c r="D249" s="58" t="s">
        <v>1311</v>
      </c>
      <c r="E249" s="11">
        <v>778.04</v>
      </c>
      <c r="F249" s="11">
        <v>778.04</v>
      </c>
      <c r="G249" s="11">
        <v>831.4</v>
      </c>
      <c r="H249" s="55"/>
      <c r="I249" s="14">
        <v>389.02</v>
      </c>
      <c r="J249" s="14">
        <v>778.04</v>
      </c>
      <c r="K249" s="14">
        <v>778.04</v>
      </c>
      <c r="L249" s="14">
        <v>778.04</v>
      </c>
      <c r="M249" s="14">
        <v>778.04</v>
      </c>
      <c r="N249" s="14">
        <v>583.53</v>
      </c>
      <c r="O249" s="14">
        <v>0</v>
      </c>
      <c r="P249" s="14">
        <v>0</v>
      </c>
      <c r="Q249" s="14">
        <v>0</v>
      </c>
      <c r="R249" s="14">
        <v>0</v>
      </c>
      <c r="S249" s="14">
        <v>0</v>
      </c>
      <c r="T249" s="14">
        <v>0</v>
      </c>
      <c r="U249" s="73">
        <f>SUM(I249:T249)</f>
        <v>4084.71</v>
      </c>
      <c r="W249" s="49">
        <f t="shared" si="131"/>
        <v>0.5</v>
      </c>
      <c r="X249" s="49">
        <f t="shared" si="132"/>
        <v>1</v>
      </c>
      <c r="Y249" s="49">
        <f t="shared" si="133"/>
        <v>1</v>
      </c>
      <c r="Z249" s="49">
        <f t="shared" si="134"/>
        <v>1</v>
      </c>
      <c r="AA249" s="49">
        <f t="shared" si="135"/>
        <v>1</v>
      </c>
      <c r="AB249" s="49">
        <f t="shared" si="136"/>
        <v>0.75</v>
      </c>
      <c r="AC249" s="49">
        <f t="shared" si="137"/>
        <v>0</v>
      </c>
      <c r="AD249" s="49">
        <f t="shared" si="138"/>
        <v>0</v>
      </c>
      <c r="AE249" s="49">
        <f t="shared" si="139"/>
        <v>0</v>
      </c>
      <c r="AF249" s="49">
        <f t="shared" si="140"/>
        <v>0</v>
      </c>
      <c r="AG249" s="49">
        <f t="shared" si="141"/>
        <v>0</v>
      </c>
      <c r="AH249" s="49">
        <f t="shared" si="142"/>
        <v>0</v>
      </c>
      <c r="AI249" s="47">
        <f>+IFERROR(AVERAGE(W249:AH249),0)</f>
        <v>0.4375</v>
      </c>
      <c r="AJ249" s="134">
        <f>SUM(W249:AH249)</f>
        <v>5.25</v>
      </c>
      <c r="AL249" s="134"/>
    </row>
    <row r="250" spans="2:38" s="45" customFormat="1" x14ac:dyDescent="0.2">
      <c r="B250" s="1" t="str">
        <f>"Vanc"&amp;"commercial"&amp;C250</f>
        <v>VanccommercialSSVC2Y3W</v>
      </c>
      <c r="C250" s="61" t="s">
        <v>1307</v>
      </c>
      <c r="D250" s="58" t="s">
        <v>1310</v>
      </c>
      <c r="E250" s="11">
        <v>605.14</v>
      </c>
      <c r="F250" s="11">
        <v>605.14</v>
      </c>
      <c r="G250" s="11">
        <v>646.65</v>
      </c>
      <c r="H250" s="55"/>
      <c r="I250" s="14">
        <v>302.57</v>
      </c>
      <c r="J250" s="14">
        <v>0</v>
      </c>
      <c r="K250" s="14">
        <v>0</v>
      </c>
      <c r="L250" s="14">
        <v>0</v>
      </c>
      <c r="M250" s="14">
        <v>0</v>
      </c>
      <c r="N250" s="14">
        <v>0</v>
      </c>
      <c r="O250" s="14">
        <v>0</v>
      </c>
      <c r="P250" s="14">
        <v>0</v>
      </c>
      <c r="Q250" s="14">
        <v>0</v>
      </c>
      <c r="R250" s="14">
        <v>0</v>
      </c>
      <c r="S250" s="14">
        <v>0</v>
      </c>
      <c r="T250" s="14">
        <v>0</v>
      </c>
      <c r="U250" s="73">
        <f t="shared" si="146"/>
        <v>302.57</v>
      </c>
      <c r="W250" s="49">
        <f t="shared" si="131"/>
        <v>0.5</v>
      </c>
      <c r="X250" s="49">
        <f t="shared" si="132"/>
        <v>0</v>
      </c>
      <c r="Y250" s="49">
        <f t="shared" si="133"/>
        <v>0</v>
      </c>
      <c r="Z250" s="49">
        <f t="shared" si="134"/>
        <v>0</v>
      </c>
      <c r="AA250" s="49">
        <f t="shared" si="135"/>
        <v>0</v>
      </c>
      <c r="AB250" s="49">
        <f t="shared" si="136"/>
        <v>0</v>
      </c>
      <c r="AC250" s="49">
        <f t="shared" si="137"/>
        <v>0</v>
      </c>
      <c r="AD250" s="49">
        <f t="shared" si="138"/>
        <v>0</v>
      </c>
      <c r="AE250" s="49">
        <f t="shared" si="139"/>
        <v>0</v>
      </c>
      <c r="AF250" s="49">
        <f t="shared" si="140"/>
        <v>0</v>
      </c>
      <c r="AG250" s="49">
        <f t="shared" si="141"/>
        <v>0</v>
      </c>
      <c r="AH250" s="49">
        <f t="shared" si="142"/>
        <v>0</v>
      </c>
      <c r="AI250" s="47">
        <f t="shared" si="147"/>
        <v>4.1666666666666664E-2</v>
      </c>
      <c r="AJ250" s="134">
        <f t="shared" si="148"/>
        <v>0.5</v>
      </c>
      <c r="AL250" s="134"/>
    </row>
    <row r="251" spans="2:38" s="45" customFormat="1" ht="15" x14ac:dyDescent="0.25">
      <c r="B251" s="1" t="str">
        <f>"Vanc"&amp;"Accounting"&amp;C251</f>
        <v>VancAccountingADJ</v>
      </c>
      <c r="C251" s="58" t="s">
        <v>208</v>
      </c>
      <c r="D251" s="58" t="s">
        <v>301</v>
      </c>
      <c r="E251" s="11">
        <v>0</v>
      </c>
      <c r="F251" s="11">
        <v>0</v>
      </c>
      <c r="G251" s="11">
        <v>0</v>
      </c>
      <c r="H251" s="55"/>
      <c r="I251" s="14">
        <v>46.769999999999996</v>
      </c>
      <c r="J251" s="14">
        <v>0</v>
      </c>
      <c r="K251" s="14">
        <v>-15.6</v>
      </c>
      <c r="L251" s="14">
        <v>11.4</v>
      </c>
      <c r="M251" s="14">
        <v>0.02</v>
      </c>
      <c r="N251" s="14">
        <v>0</v>
      </c>
      <c r="O251" s="14">
        <v>-43.86</v>
      </c>
      <c r="P251" s="14">
        <v>-11.52</v>
      </c>
      <c r="Q251" s="14">
        <v>-14.98</v>
      </c>
      <c r="R251" s="14">
        <v>-0.01</v>
      </c>
      <c r="S251" s="14">
        <v>-6.6499999999999995</v>
      </c>
      <c r="T251" s="14">
        <v>0</v>
      </c>
      <c r="U251" s="73">
        <f>SUM(I251:T251)</f>
        <v>-34.430000000000007</v>
      </c>
      <c r="AI251" s="40"/>
      <c r="AJ251"/>
      <c r="AK251"/>
    </row>
    <row r="252" spans="2:38" s="45" customFormat="1" ht="15" x14ac:dyDescent="0.25">
      <c r="B252" s="1" t="str">
        <f>"Vanc"&amp;"Accounting"&amp;C252</f>
        <v>VancAccountingGWC</v>
      </c>
      <c r="C252" s="60" t="s">
        <v>209</v>
      </c>
      <c r="D252" s="60" t="s">
        <v>302</v>
      </c>
      <c r="E252" s="11">
        <v>0</v>
      </c>
      <c r="F252" s="11">
        <v>0</v>
      </c>
      <c r="G252" s="11">
        <v>0</v>
      </c>
      <c r="H252" s="55"/>
      <c r="I252" s="14">
        <v>-100</v>
      </c>
      <c r="J252" s="14">
        <v>-858.66000000000008</v>
      </c>
      <c r="K252" s="14">
        <v>-738.93</v>
      </c>
      <c r="L252" s="14">
        <v>-173.96</v>
      </c>
      <c r="M252" s="14">
        <v>-20</v>
      </c>
      <c r="N252" s="14">
        <v>-60</v>
      </c>
      <c r="O252" s="14">
        <v>-399.94</v>
      </c>
      <c r="P252" s="14">
        <v>-195</v>
      </c>
      <c r="Q252" s="14">
        <v>-140</v>
      </c>
      <c r="R252" s="14">
        <v>-455</v>
      </c>
      <c r="S252" s="14">
        <v>-441.05</v>
      </c>
      <c r="T252" s="14">
        <v>-688.29</v>
      </c>
      <c r="U252" s="73">
        <f>SUM(I252:T252)</f>
        <v>-4270.83</v>
      </c>
      <c r="AI252" s="40"/>
      <c r="AJ252"/>
      <c r="AK252"/>
    </row>
    <row r="253" spans="2:38" s="45" customFormat="1" ht="15" x14ac:dyDescent="0.25">
      <c r="B253" s="1" t="str">
        <f>"Vanc"&amp;"Accounting"&amp;C253</f>
        <v>VancAccountingMM</v>
      </c>
      <c r="C253" s="60" t="s">
        <v>1010</v>
      </c>
      <c r="D253" s="60" t="s">
        <v>1011</v>
      </c>
      <c r="E253" s="11">
        <v>0</v>
      </c>
      <c r="F253" s="11">
        <v>0</v>
      </c>
      <c r="G253" s="11">
        <v>0</v>
      </c>
      <c r="H253" s="55"/>
      <c r="I253" s="14">
        <v>550.04999999999995</v>
      </c>
      <c r="J253" s="14">
        <v>4521.84</v>
      </c>
      <c r="K253" s="14">
        <v>-8774.94</v>
      </c>
      <c r="L253" s="14">
        <v>1777.37</v>
      </c>
      <c r="M253" s="14">
        <v>-4970.79</v>
      </c>
      <c r="N253" s="14">
        <v>-7493.48</v>
      </c>
      <c r="O253" s="14">
        <v>-5619.57</v>
      </c>
      <c r="P253" s="14">
        <v>1937.45</v>
      </c>
      <c r="Q253" s="14">
        <v>-7972.11</v>
      </c>
      <c r="R253" s="14">
        <v>854.84999999999991</v>
      </c>
      <c r="S253" s="14">
        <v>-12941.5</v>
      </c>
      <c r="T253" s="14">
        <v>-2075.5200000000004</v>
      </c>
      <c r="U253" s="73">
        <f>SUM(I253:T253)</f>
        <v>-40206.350000000006</v>
      </c>
      <c r="AI253" s="40"/>
      <c r="AJ253"/>
      <c r="AK253"/>
    </row>
    <row r="254" spans="2:38" s="45" customFormat="1" x14ac:dyDescent="0.2">
      <c r="B254" s="1" t="str">
        <f>"Vanc"&amp;"commercial"&amp;C254</f>
        <v>VanccommercialYDMRENT</v>
      </c>
      <c r="C254" s="61" t="s">
        <v>1177</v>
      </c>
      <c r="D254" s="58" t="s">
        <v>1178</v>
      </c>
      <c r="E254" s="11">
        <v>1.99</v>
      </c>
      <c r="F254" s="11">
        <v>1.99</v>
      </c>
      <c r="G254" s="11">
        <v>1.99</v>
      </c>
      <c r="H254" s="55"/>
      <c r="I254" s="14">
        <v>11.94</v>
      </c>
      <c r="J254" s="14">
        <v>11.94</v>
      </c>
      <c r="K254" s="14">
        <v>11.94</v>
      </c>
      <c r="L254" s="14">
        <v>11.94</v>
      </c>
      <c r="M254" s="14">
        <v>11.94</v>
      </c>
      <c r="N254" s="14">
        <v>11.94</v>
      </c>
      <c r="O254" s="14">
        <v>11.94</v>
      </c>
      <c r="P254" s="14">
        <v>11.94</v>
      </c>
      <c r="Q254" s="14">
        <v>11.94</v>
      </c>
      <c r="R254" s="14">
        <v>11.94</v>
      </c>
      <c r="S254" s="14">
        <v>11.94</v>
      </c>
      <c r="T254" s="14">
        <v>11.94</v>
      </c>
      <c r="U254" s="73">
        <f t="shared" si="146"/>
        <v>143.28</v>
      </c>
      <c r="W254" s="49">
        <f t="shared" ref="W254:Y255" si="152">IFERROR(I254/$E254,0)</f>
        <v>6</v>
      </c>
      <c r="X254" s="49">
        <f t="shared" si="152"/>
        <v>6</v>
      </c>
      <c r="Y254" s="49">
        <f t="shared" si="152"/>
        <v>6</v>
      </c>
      <c r="Z254" s="49">
        <f t="shared" ref="Z254:AE255" si="153">IFERROR(L254/$F254,0)</f>
        <v>6</v>
      </c>
      <c r="AA254" s="49">
        <f t="shared" si="153"/>
        <v>6</v>
      </c>
      <c r="AB254" s="49">
        <f t="shared" si="153"/>
        <v>6</v>
      </c>
      <c r="AC254" s="49">
        <f t="shared" si="153"/>
        <v>6</v>
      </c>
      <c r="AD254" s="49">
        <f t="shared" si="153"/>
        <v>6</v>
      </c>
      <c r="AE254" s="49">
        <f t="shared" si="153"/>
        <v>6</v>
      </c>
      <c r="AF254" s="49">
        <f t="shared" ref="AF254:AH255" si="154">IFERROR(R254/$G254,0)</f>
        <v>6</v>
      </c>
      <c r="AG254" s="49">
        <f t="shared" si="154"/>
        <v>6</v>
      </c>
      <c r="AH254" s="49">
        <f t="shared" si="154"/>
        <v>6</v>
      </c>
      <c r="AI254" s="47">
        <f t="shared" si="147"/>
        <v>6</v>
      </c>
      <c r="AJ254" s="134">
        <f t="shared" si="148"/>
        <v>72</v>
      </c>
      <c r="AL254" s="134"/>
    </row>
    <row r="255" spans="2:38" s="45" customFormat="1" x14ac:dyDescent="0.2">
      <c r="B255" s="1" t="str">
        <f t="shared" si="151"/>
        <v>VanccommercialCWSAN6</v>
      </c>
      <c r="C255" s="61" t="s">
        <v>204</v>
      </c>
      <c r="D255" s="58" t="s">
        <v>297</v>
      </c>
      <c r="E255" s="11">
        <v>52.63</v>
      </c>
      <c r="F255" s="11">
        <v>52.63</v>
      </c>
      <c r="G255" s="11">
        <v>55.45</v>
      </c>
      <c r="H255" s="55"/>
      <c r="I255" s="14">
        <v>0</v>
      </c>
      <c r="J255" s="14">
        <v>0</v>
      </c>
      <c r="K255" s="14">
        <v>0</v>
      </c>
      <c r="L255" s="14">
        <v>0</v>
      </c>
      <c r="M255" s="14">
        <v>52.63</v>
      </c>
      <c r="N255" s="14">
        <v>0</v>
      </c>
      <c r="O255" s="14">
        <v>0</v>
      </c>
      <c r="P255" s="14">
        <v>0</v>
      </c>
      <c r="Q255" s="14">
        <v>44.58</v>
      </c>
      <c r="R255" s="14">
        <v>0</v>
      </c>
      <c r="S255" s="14">
        <v>0</v>
      </c>
      <c r="T255" s="14">
        <v>0</v>
      </c>
      <c r="U255" s="73">
        <f t="shared" si="146"/>
        <v>97.210000000000008</v>
      </c>
      <c r="W255" s="49">
        <f t="shared" si="152"/>
        <v>0</v>
      </c>
      <c r="X255" s="49">
        <f t="shared" si="152"/>
        <v>0</v>
      </c>
      <c r="Y255" s="49">
        <f t="shared" si="152"/>
        <v>0</v>
      </c>
      <c r="Z255" s="49">
        <f t="shared" si="153"/>
        <v>0</v>
      </c>
      <c r="AA255" s="49">
        <f t="shared" si="153"/>
        <v>1</v>
      </c>
      <c r="AB255" s="49">
        <f t="shared" si="153"/>
        <v>0</v>
      </c>
      <c r="AC255" s="49">
        <f t="shared" si="153"/>
        <v>0</v>
      </c>
      <c r="AD255" s="49">
        <f t="shared" si="153"/>
        <v>0</v>
      </c>
      <c r="AE255" s="49">
        <f t="shared" si="153"/>
        <v>0.84704541136234079</v>
      </c>
      <c r="AF255" s="49">
        <f t="shared" si="154"/>
        <v>0</v>
      </c>
      <c r="AG255" s="49">
        <f t="shared" si="154"/>
        <v>0</v>
      </c>
      <c r="AH255" s="49">
        <f t="shared" si="154"/>
        <v>0</v>
      </c>
      <c r="AI255" s="47">
        <f t="shared" si="147"/>
        <v>0.15392045094686171</v>
      </c>
      <c r="AJ255" s="134">
        <f t="shared" si="148"/>
        <v>1.8470454113623407</v>
      </c>
      <c r="AL255" s="134"/>
    </row>
    <row r="256" spans="2:38" s="45" customFormat="1" x14ac:dyDescent="0.2">
      <c r="C256" s="60"/>
      <c r="D256" s="60"/>
      <c r="E256" s="55"/>
      <c r="F256" s="55"/>
      <c r="G256" s="55"/>
      <c r="H256" s="55"/>
      <c r="I256" s="46"/>
      <c r="J256" s="46"/>
      <c r="K256" s="49"/>
      <c r="L256" s="48"/>
      <c r="M256" s="48"/>
      <c r="N256" s="48"/>
      <c r="O256" s="48"/>
      <c r="P256" s="48"/>
      <c r="Q256" s="48"/>
      <c r="R256" s="48"/>
      <c r="S256" s="49"/>
      <c r="T256" s="49"/>
      <c r="U256" s="73"/>
      <c r="AI256" s="40"/>
      <c r="AL256" s="134"/>
    </row>
    <row r="257" spans="1:47" s="45" customFormat="1" x14ac:dyDescent="0.2">
      <c r="C257" s="60"/>
      <c r="D257" s="52" t="s">
        <v>11</v>
      </c>
      <c r="E257" s="55"/>
      <c r="F257" s="55"/>
      <c r="G257" s="55"/>
      <c r="H257" s="55"/>
      <c r="I257" s="97">
        <f t="shared" ref="I257:U257" si="155">SUM(I126:I256)</f>
        <v>1430015.0900000005</v>
      </c>
      <c r="J257" s="97">
        <f t="shared" si="155"/>
        <v>1455024.4700000002</v>
      </c>
      <c r="K257" s="97">
        <f t="shared" si="155"/>
        <v>1454020.7699999998</v>
      </c>
      <c r="L257" s="97">
        <f t="shared" si="155"/>
        <v>1448364.2999999993</v>
      </c>
      <c r="M257" s="97">
        <f t="shared" si="155"/>
        <v>1463634.5099999998</v>
      </c>
      <c r="N257" s="97">
        <f t="shared" si="155"/>
        <v>1460396.6199999992</v>
      </c>
      <c r="O257" s="97">
        <f t="shared" si="155"/>
        <v>1462279.5300000003</v>
      </c>
      <c r="P257" s="97">
        <f t="shared" si="155"/>
        <v>1477547.669999999</v>
      </c>
      <c r="Q257" s="97">
        <f t="shared" si="155"/>
        <v>1470281.5299999996</v>
      </c>
      <c r="R257" s="97">
        <f t="shared" si="155"/>
        <v>1575579.8199999998</v>
      </c>
      <c r="S257" s="97">
        <f t="shared" si="155"/>
        <v>1560681.1700000009</v>
      </c>
      <c r="T257" s="97">
        <f t="shared" si="155"/>
        <v>1582425.72</v>
      </c>
      <c r="U257" s="146">
        <f t="shared" si="155"/>
        <v>17840251.199999999</v>
      </c>
      <c r="W257" s="185">
        <f t="shared" ref="W257:AI257" si="156">SUM(W126:W209)</f>
        <v>3395.5269611431645</v>
      </c>
      <c r="X257" s="185">
        <f t="shared" si="156"/>
        <v>3425.5399949287198</v>
      </c>
      <c r="Y257" s="185">
        <f t="shared" si="156"/>
        <v>3434.5835023824761</v>
      </c>
      <c r="Z257" s="185">
        <f t="shared" si="156"/>
        <v>3411.5666172451711</v>
      </c>
      <c r="AA257" s="185">
        <f t="shared" si="156"/>
        <v>3448.0610127899699</v>
      </c>
      <c r="AB257" s="185">
        <f t="shared" si="156"/>
        <v>3444.1341972025598</v>
      </c>
      <c r="AC257" s="185">
        <f t="shared" si="156"/>
        <v>3441.9803731710499</v>
      </c>
      <c r="AD257" s="185">
        <f t="shared" si="156"/>
        <v>3467.9149376838577</v>
      </c>
      <c r="AE257" s="185">
        <f t="shared" si="156"/>
        <v>3462.4972114419397</v>
      </c>
      <c r="AF257" s="185">
        <f t="shared" si="156"/>
        <v>3458.8028750346707</v>
      </c>
      <c r="AG257" s="185">
        <f t="shared" si="156"/>
        <v>3458.2381795642323</v>
      </c>
      <c r="AH257" s="185">
        <f t="shared" si="156"/>
        <v>3481.915710358282</v>
      </c>
      <c r="AI257" s="185">
        <f t="shared" si="156"/>
        <v>3444.2301310788407</v>
      </c>
      <c r="AJ257" s="185">
        <f>SUM(AJ126:AJ220,AJ227,AJ228,AJ229,AJ250)</f>
        <v>48074.400481989636</v>
      </c>
      <c r="AO257" s="186">
        <f>SUM(AO126:AO209)</f>
        <v>855.60954134890324</v>
      </c>
      <c r="AQ257" s="186">
        <f>SUM(AQ126:AQ209)</f>
        <v>2623.5996745689013</v>
      </c>
      <c r="AS257" s="186">
        <f>SUM(AS126:AS209)</f>
        <v>0</v>
      </c>
      <c r="AU257" s="186">
        <f>SUM(AU126:AU209)</f>
        <v>0</v>
      </c>
    </row>
    <row r="258" spans="1:47" s="45" customFormat="1" x14ac:dyDescent="0.2">
      <c r="C258" s="60"/>
      <c r="D258" s="60"/>
      <c r="E258" s="55"/>
      <c r="F258" s="55"/>
      <c r="G258" s="55"/>
      <c r="H258" s="55"/>
      <c r="I258" s="46"/>
      <c r="J258" s="46"/>
      <c r="K258" s="49"/>
      <c r="L258" s="48"/>
      <c r="M258" s="48"/>
      <c r="N258" s="48"/>
      <c r="O258" s="48"/>
      <c r="P258" s="48"/>
      <c r="Q258" s="48"/>
      <c r="R258" s="48"/>
      <c r="S258" s="49"/>
      <c r="T258" s="49"/>
      <c r="U258" s="73"/>
      <c r="AH258" s="135" t="s">
        <v>1355</v>
      </c>
      <c r="AI258" s="40"/>
    </row>
    <row r="259" spans="1:47" x14ac:dyDescent="0.2">
      <c r="C259" s="42" t="s">
        <v>12</v>
      </c>
      <c r="D259" s="42" t="s">
        <v>12</v>
      </c>
    </row>
    <row r="260" spans="1:47" s="274" customFormat="1" ht="15" x14ac:dyDescent="0.25">
      <c r="A260" s="274" t="str">
        <f>"all"&amp;"Recycling"&amp;C260</f>
        <v>allRecyclingCRY1.5Y1X</v>
      </c>
      <c r="B260" s="241" t="str">
        <f>"Vanc"&amp;"Recycling"&amp;C260</f>
        <v>VancRecyclingCRY1.5Y1X</v>
      </c>
      <c r="C260" s="232" t="s">
        <v>456</v>
      </c>
      <c r="D260" s="232" t="s">
        <v>538</v>
      </c>
      <c r="E260" s="238">
        <v>149.63999999999999</v>
      </c>
      <c r="F260" s="238">
        <v>157.11999999999998</v>
      </c>
      <c r="G260" s="238">
        <v>157.11999999999998</v>
      </c>
      <c r="I260" s="243">
        <v>598.55999999999995</v>
      </c>
      <c r="J260" s="243">
        <v>598.55999999999995</v>
      </c>
      <c r="K260" s="243">
        <v>598.55999999999995</v>
      </c>
      <c r="L260" s="243">
        <v>628.48</v>
      </c>
      <c r="M260" s="243">
        <v>628.48</v>
      </c>
      <c r="N260" s="243">
        <v>628.48</v>
      </c>
      <c r="O260" s="243">
        <v>628.48</v>
      </c>
      <c r="P260" s="243">
        <v>628.48</v>
      </c>
      <c r="Q260" s="243">
        <v>628.48</v>
      </c>
      <c r="R260" s="243">
        <v>628.48</v>
      </c>
      <c r="S260" s="243">
        <v>628.48</v>
      </c>
      <c r="T260" s="243">
        <v>628.48</v>
      </c>
      <c r="U260" s="263">
        <f t="shared" ref="U260:U326" si="157">SUM(I260:T260)</f>
        <v>7451.9999999999982</v>
      </c>
      <c r="W260" s="264">
        <f t="shared" ref="W260:W323" si="158">IFERROR(I260/$E260,0)</f>
        <v>4</v>
      </c>
      <c r="X260" s="264">
        <f t="shared" ref="X260:X323" si="159">IFERROR(J260/$E260,0)</f>
        <v>4</v>
      </c>
      <c r="Y260" s="264">
        <f t="shared" ref="Y260:Y323" si="160">IFERROR(K260/$E260,0)</f>
        <v>4</v>
      </c>
      <c r="Z260" s="264">
        <f t="shared" ref="Z260:Z323" si="161">IFERROR(L260/$F260,0)</f>
        <v>4.0000000000000009</v>
      </c>
      <c r="AA260" s="264">
        <f t="shared" ref="AA260:AA323" si="162">IFERROR(M260/$F260,0)</f>
        <v>4.0000000000000009</v>
      </c>
      <c r="AB260" s="264">
        <f t="shared" ref="AB260:AB323" si="163">IFERROR(N260/$F260,0)</f>
        <v>4.0000000000000009</v>
      </c>
      <c r="AC260" s="264">
        <f t="shared" ref="AC260:AC323" si="164">IFERROR(O260/$F260,0)</f>
        <v>4.0000000000000009</v>
      </c>
      <c r="AD260" s="264">
        <f t="shared" ref="AD260:AD323" si="165">IFERROR(P260/$F260,0)</f>
        <v>4.0000000000000009</v>
      </c>
      <c r="AE260" s="264">
        <f t="shared" ref="AE260:AE323" si="166">IFERROR(Q260/$F260,0)</f>
        <v>4.0000000000000009</v>
      </c>
      <c r="AF260" s="264">
        <f t="shared" ref="AF260:AF323" si="167">IFERROR(R260/$G260,0)</f>
        <v>4.0000000000000009</v>
      </c>
      <c r="AG260" s="264">
        <f t="shared" ref="AG260:AG323" si="168">IFERROR(S260/$G260,0)</f>
        <v>4.0000000000000009</v>
      </c>
      <c r="AH260" s="264">
        <f t="shared" ref="AH260:AH323" si="169">IFERROR(T260/$G260,0)</f>
        <v>4.0000000000000009</v>
      </c>
      <c r="AI260" s="265">
        <f>+IFERROR(AVERAGE(W260:AH260),0)</f>
        <v>4</v>
      </c>
      <c r="AJ260" s="266">
        <f t="shared" ref="AJ260:AJ285" si="170">SUM(W260:AH260)</f>
        <v>48</v>
      </c>
      <c r="AK260" s="262"/>
      <c r="AN260" s="241">
        <v>0</v>
      </c>
      <c r="AO260" s="240">
        <f t="shared" ref="AO260:AO291" si="171">+$AI260*AN260</f>
        <v>0</v>
      </c>
      <c r="AP260" s="241">
        <v>1</v>
      </c>
      <c r="AQ260" s="240">
        <f t="shared" ref="AQ260:AQ291" si="172">+$AI260*AP260</f>
        <v>4</v>
      </c>
      <c r="AR260" s="241">
        <v>0</v>
      </c>
      <c r="AS260" s="240">
        <f t="shared" ref="AS260:AS291" si="173">+$AI260*AR260</f>
        <v>0</v>
      </c>
      <c r="AT260" s="241">
        <v>0</v>
      </c>
      <c r="AU260" s="240">
        <f t="shared" ref="AU260:AU316" si="174">+$AI260*AT260</f>
        <v>0</v>
      </c>
    </row>
    <row r="261" spans="1:47" s="274" customFormat="1" ht="15" x14ac:dyDescent="0.25">
      <c r="A261" s="274" t="str">
        <f t="shared" ref="A261:A324" si="175">"all"&amp;"Recycling"&amp;C261</f>
        <v>allRecyclingCRY1.5Y2X</v>
      </c>
      <c r="B261" s="241" t="str">
        <f t="shared" ref="B261:B337" si="176">"Vanc"&amp;"Recycling"&amp;C261</f>
        <v>VancRecyclingCRY1.5Y2X</v>
      </c>
      <c r="C261" s="274" t="s">
        <v>878</v>
      </c>
      <c r="D261" s="232" t="s">
        <v>889</v>
      </c>
      <c r="E261" s="238">
        <v>271.60000000000002</v>
      </c>
      <c r="F261" s="238">
        <v>285.18</v>
      </c>
      <c r="G261" s="238">
        <v>285.18</v>
      </c>
      <c r="I261" s="243">
        <v>814.8</v>
      </c>
      <c r="J261" s="243">
        <v>814.8</v>
      </c>
      <c r="K261" s="243">
        <v>814.8</v>
      </c>
      <c r="L261" s="243">
        <v>855.54</v>
      </c>
      <c r="M261" s="243">
        <v>855.54</v>
      </c>
      <c r="N261" s="243">
        <v>855.54</v>
      </c>
      <c r="O261" s="243">
        <v>891.19</v>
      </c>
      <c r="P261" s="243">
        <v>855.54</v>
      </c>
      <c r="Q261" s="243">
        <v>570.36</v>
      </c>
      <c r="R261" s="243">
        <v>570.36</v>
      </c>
      <c r="S261" s="243">
        <v>570.36</v>
      </c>
      <c r="T261" s="243">
        <v>570.36</v>
      </c>
      <c r="U261" s="263">
        <f t="shared" si="157"/>
        <v>9039.1899999999987</v>
      </c>
      <c r="W261" s="264">
        <f t="shared" si="158"/>
        <v>2.9999999999999996</v>
      </c>
      <c r="X261" s="264">
        <f t="shared" si="159"/>
        <v>2.9999999999999996</v>
      </c>
      <c r="Y261" s="264">
        <f t="shared" si="160"/>
        <v>2.9999999999999996</v>
      </c>
      <c r="Z261" s="264">
        <f t="shared" si="161"/>
        <v>3</v>
      </c>
      <c r="AA261" s="264">
        <f t="shared" si="162"/>
        <v>3</v>
      </c>
      <c r="AB261" s="264">
        <f t="shared" si="163"/>
        <v>3</v>
      </c>
      <c r="AC261" s="264">
        <f t="shared" si="164"/>
        <v>3.1250087663931554</v>
      </c>
      <c r="AD261" s="264">
        <f t="shared" si="165"/>
        <v>3</v>
      </c>
      <c r="AE261" s="264">
        <f t="shared" si="166"/>
        <v>2</v>
      </c>
      <c r="AF261" s="264">
        <f t="shared" si="167"/>
        <v>2</v>
      </c>
      <c r="AG261" s="264">
        <f t="shared" si="168"/>
        <v>2</v>
      </c>
      <c r="AH261" s="264">
        <f t="shared" si="169"/>
        <v>2</v>
      </c>
      <c r="AI261" s="265">
        <f t="shared" ref="AI261:AI319" si="177">+IFERROR(AVERAGE(W261:AH261),0)</f>
        <v>2.6770840638660958</v>
      </c>
      <c r="AJ261" s="266">
        <f t="shared" si="170"/>
        <v>32.125008766393151</v>
      </c>
      <c r="AK261" s="262"/>
      <c r="AN261" s="241">
        <v>0</v>
      </c>
      <c r="AO261" s="240">
        <f t="shared" si="171"/>
        <v>0</v>
      </c>
      <c r="AP261" s="241">
        <v>1</v>
      </c>
      <c r="AQ261" s="240">
        <f t="shared" si="172"/>
        <v>2.6770840638660958</v>
      </c>
      <c r="AR261" s="241">
        <v>0</v>
      </c>
      <c r="AS261" s="240">
        <f t="shared" si="173"/>
        <v>0</v>
      </c>
      <c r="AT261" s="241">
        <v>0</v>
      </c>
      <c r="AU261" s="240">
        <f t="shared" si="174"/>
        <v>0</v>
      </c>
    </row>
    <row r="262" spans="1:47" s="274" customFormat="1" ht="15" x14ac:dyDescent="0.25">
      <c r="A262" s="274" t="str">
        <f t="shared" si="175"/>
        <v>allRecyclingCRY1.5EOW</v>
      </c>
      <c r="B262" s="241" t="str">
        <f t="shared" si="176"/>
        <v>VancRecyclingCRY1.5EOW</v>
      </c>
      <c r="C262" s="232" t="s">
        <v>1184</v>
      </c>
      <c r="D262" s="232" t="s">
        <v>539</v>
      </c>
      <c r="E262" s="238">
        <v>91.69</v>
      </c>
      <c r="F262" s="238">
        <v>96.27</v>
      </c>
      <c r="G262" s="238">
        <v>96.27</v>
      </c>
      <c r="I262" s="243">
        <v>91.69</v>
      </c>
      <c r="J262" s="243">
        <v>91.69</v>
      </c>
      <c r="K262" s="243">
        <v>91.69</v>
      </c>
      <c r="L262" s="243">
        <v>96.27</v>
      </c>
      <c r="M262" s="243">
        <v>96.27</v>
      </c>
      <c r="N262" s="243">
        <v>96.27</v>
      </c>
      <c r="O262" s="243">
        <v>96.27</v>
      </c>
      <c r="P262" s="243">
        <v>96.27</v>
      </c>
      <c r="Q262" s="243">
        <v>96.27</v>
      </c>
      <c r="R262" s="243">
        <v>96.27</v>
      </c>
      <c r="S262" s="243">
        <v>96.27</v>
      </c>
      <c r="T262" s="243">
        <v>96.27</v>
      </c>
      <c r="U262" s="263">
        <f t="shared" si="157"/>
        <v>1141.5</v>
      </c>
      <c r="W262" s="264">
        <f t="shared" si="158"/>
        <v>1</v>
      </c>
      <c r="X262" s="264">
        <f t="shared" si="159"/>
        <v>1</v>
      </c>
      <c r="Y262" s="264">
        <f t="shared" si="160"/>
        <v>1</v>
      </c>
      <c r="Z262" s="264">
        <f t="shared" si="161"/>
        <v>1</v>
      </c>
      <c r="AA262" s="264">
        <f t="shared" si="162"/>
        <v>1</v>
      </c>
      <c r="AB262" s="264">
        <f t="shared" si="163"/>
        <v>1</v>
      </c>
      <c r="AC262" s="264">
        <f t="shared" si="164"/>
        <v>1</v>
      </c>
      <c r="AD262" s="264">
        <f t="shared" si="165"/>
        <v>1</v>
      </c>
      <c r="AE262" s="264">
        <f t="shared" si="166"/>
        <v>1</v>
      </c>
      <c r="AF262" s="264">
        <f t="shared" si="167"/>
        <v>1</v>
      </c>
      <c r="AG262" s="264">
        <f t="shared" si="168"/>
        <v>1</v>
      </c>
      <c r="AH262" s="264">
        <f t="shared" si="169"/>
        <v>1</v>
      </c>
      <c r="AI262" s="265">
        <f t="shared" si="177"/>
        <v>1</v>
      </c>
      <c r="AJ262" s="266">
        <f t="shared" si="170"/>
        <v>12</v>
      </c>
      <c r="AK262" s="262"/>
      <c r="AN262" s="241">
        <v>0</v>
      </c>
      <c r="AO262" s="240">
        <f t="shared" si="171"/>
        <v>0</v>
      </c>
      <c r="AP262" s="241">
        <v>1</v>
      </c>
      <c r="AQ262" s="240">
        <f t="shared" si="172"/>
        <v>1</v>
      </c>
      <c r="AR262" s="241">
        <v>0</v>
      </c>
      <c r="AS262" s="240">
        <f t="shared" si="173"/>
        <v>0</v>
      </c>
      <c r="AT262" s="241">
        <v>0</v>
      </c>
      <c r="AU262" s="240">
        <f t="shared" si="174"/>
        <v>0</v>
      </c>
    </row>
    <row r="263" spans="1:47" s="274" customFormat="1" ht="15" x14ac:dyDescent="0.25">
      <c r="A263" s="274" t="str">
        <f>"all"&amp;"Recycling"&amp;C263</f>
        <v>allRecyclingCRY2-1Y1X</v>
      </c>
      <c r="B263" s="241" t="str">
        <f>"Vanc"&amp;"Recycling"&amp;C263</f>
        <v>VancRecyclingCRY2-1Y1X</v>
      </c>
      <c r="C263" s="232" t="s">
        <v>459</v>
      </c>
      <c r="D263" s="232" t="s">
        <v>542</v>
      </c>
      <c r="E263" s="238">
        <v>241.14</v>
      </c>
      <c r="F263" s="238">
        <v>253.20000000000002</v>
      </c>
      <c r="G263" s="238">
        <v>253.20000000000002</v>
      </c>
      <c r="I263" s="243">
        <v>241.14</v>
      </c>
      <c r="J263" s="243">
        <v>241.14</v>
      </c>
      <c r="K263" s="243">
        <v>241.14</v>
      </c>
      <c r="L263" s="243">
        <v>253.2</v>
      </c>
      <c r="M263" s="243">
        <v>253.2</v>
      </c>
      <c r="N263" s="243">
        <v>253.2</v>
      </c>
      <c r="O263" s="243">
        <v>253.2</v>
      </c>
      <c r="P263" s="243">
        <v>253.2</v>
      </c>
      <c r="Q263" s="243">
        <v>253.2</v>
      </c>
      <c r="R263" s="243">
        <v>253.2</v>
      </c>
      <c r="S263" s="243">
        <v>253.2</v>
      </c>
      <c r="T263" s="243">
        <v>253.2</v>
      </c>
      <c r="U263" s="263">
        <f t="shared" si="157"/>
        <v>3002.2199999999993</v>
      </c>
      <c r="W263" s="264">
        <f t="shared" si="158"/>
        <v>1</v>
      </c>
      <c r="X263" s="264">
        <f t="shared" si="159"/>
        <v>1</v>
      </c>
      <c r="Y263" s="264">
        <f t="shared" si="160"/>
        <v>1</v>
      </c>
      <c r="Z263" s="264">
        <f t="shared" si="161"/>
        <v>0.99999999999999989</v>
      </c>
      <c r="AA263" s="264">
        <f t="shared" si="162"/>
        <v>0.99999999999999989</v>
      </c>
      <c r="AB263" s="264">
        <f t="shared" si="163"/>
        <v>0.99999999999999989</v>
      </c>
      <c r="AC263" s="264">
        <f t="shared" si="164"/>
        <v>0.99999999999999989</v>
      </c>
      <c r="AD263" s="264">
        <f t="shared" si="165"/>
        <v>0.99999999999999989</v>
      </c>
      <c r="AE263" s="264">
        <f t="shared" si="166"/>
        <v>0.99999999999999989</v>
      </c>
      <c r="AF263" s="264">
        <f t="shared" si="167"/>
        <v>0.99999999999999989</v>
      </c>
      <c r="AG263" s="264">
        <f t="shared" si="168"/>
        <v>0.99999999999999989</v>
      </c>
      <c r="AH263" s="264">
        <f t="shared" si="169"/>
        <v>0.99999999999999989</v>
      </c>
      <c r="AI263" s="265">
        <f>+IFERROR(AVERAGE(W263:AH263),0)</f>
        <v>1</v>
      </c>
      <c r="AJ263" s="266">
        <f t="shared" si="170"/>
        <v>12</v>
      </c>
      <c r="AK263" s="262"/>
      <c r="AN263" s="241">
        <v>0</v>
      </c>
      <c r="AO263" s="240">
        <f t="shared" si="171"/>
        <v>0</v>
      </c>
      <c r="AP263" s="241">
        <v>2</v>
      </c>
      <c r="AQ263" s="240">
        <f t="shared" si="172"/>
        <v>2</v>
      </c>
      <c r="AR263" s="241">
        <v>0</v>
      </c>
      <c r="AS263" s="240">
        <f t="shared" si="173"/>
        <v>0</v>
      </c>
      <c r="AT263" s="241">
        <v>0</v>
      </c>
      <c r="AU263" s="240">
        <f t="shared" si="174"/>
        <v>0</v>
      </c>
    </row>
    <row r="264" spans="1:47" s="274" customFormat="1" ht="15" x14ac:dyDescent="0.25">
      <c r="A264" s="274" t="str">
        <f t="shared" si="175"/>
        <v>allRecyclingCRY1Y1X</v>
      </c>
      <c r="B264" s="241" t="str">
        <f t="shared" si="176"/>
        <v>VancRecyclingCRY1Y1X</v>
      </c>
      <c r="C264" s="232" t="s">
        <v>457</v>
      </c>
      <c r="D264" s="232" t="s">
        <v>540</v>
      </c>
      <c r="E264" s="238">
        <v>122.18</v>
      </c>
      <c r="F264" s="238">
        <v>128.29</v>
      </c>
      <c r="G264" s="238">
        <v>128.29</v>
      </c>
      <c r="I264" s="243">
        <v>2866.82</v>
      </c>
      <c r="J264" s="243">
        <v>2836.27</v>
      </c>
      <c r="K264" s="243">
        <v>2866.82</v>
      </c>
      <c r="L264" s="243">
        <v>3133.37</v>
      </c>
      <c r="M264" s="243">
        <v>3133.37</v>
      </c>
      <c r="N264" s="243">
        <v>3005.93</v>
      </c>
      <c r="O264" s="243">
        <v>2927.67</v>
      </c>
      <c r="P264" s="243">
        <v>2895.6</v>
      </c>
      <c r="Q264" s="243">
        <v>2895.6</v>
      </c>
      <c r="R264" s="243">
        <v>2898.05</v>
      </c>
      <c r="S264" s="243">
        <v>2769.76</v>
      </c>
      <c r="T264" s="243">
        <v>2769.76</v>
      </c>
      <c r="U264" s="263">
        <f t="shared" si="157"/>
        <v>34999.019999999997</v>
      </c>
      <c r="W264" s="264">
        <f t="shared" si="158"/>
        <v>23.463905712882632</v>
      </c>
      <c r="X264" s="264">
        <f t="shared" si="159"/>
        <v>23.213864789654608</v>
      </c>
      <c r="Y264" s="264">
        <f t="shared" si="160"/>
        <v>23.463905712882632</v>
      </c>
      <c r="Z264" s="264">
        <f t="shared" si="161"/>
        <v>24.424117234390835</v>
      </c>
      <c r="AA264" s="264">
        <f t="shared" si="162"/>
        <v>24.424117234390835</v>
      </c>
      <c r="AB264" s="264">
        <f t="shared" si="163"/>
        <v>23.43074284823447</v>
      </c>
      <c r="AC264" s="264">
        <f t="shared" si="164"/>
        <v>22.820718684231043</v>
      </c>
      <c r="AD264" s="264">
        <f t="shared" si="165"/>
        <v>22.570738171330579</v>
      </c>
      <c r="AE264" s="264">
        <f t="shared" si="166"/>
        <v>22.570738171330579</v>
      </c>
      <c r="AF264" s="264">
        <f t="shared" si="167"/>
        <v>22.589835528879885</v>
      </c>
      <c r="AG264" s="264">
        <f t="shared" si="168"/>
        <v>21.589835528879885</v>
      </c>
      <c r="AH264" s="264">
        <f t="shared" si="169"/>
        <v>21.589835528879885</v>
      </c>
      <c r="AI264" s="265">
        <f t="shared" si="177"/>
        <v>23.012696262163988</v>
      </c>
      <c r="AJ264" s="266">
        <f t="shared" si="170"/>
        <v>276.15235514596787</v>
      </c>
      <c r="AK264" s="262"/>
      <c r="AN264" s="241">
        <v>0</v>
      </c>
      <c r="AO264" s="240">
        <f t="shared" si="171"/>
        <v>0</v>
      </c>
      <c r="AP264" s="241">
        <v>1</v>
      </c>
      <c r="AQ264" s="240">
        <f t="shared" si="172"/>
        <v>23.012696262163988</v>
      </c>
      <c r="AR264" s="241">
        <v>0</v>
      </c>
      <c r="AS264" s="240">
        <f t="shared" si="173"/>
        <v>0</v>
      </c>
      <c r="AT264" s="241">
        <v>0</v>
      </c>
      <c r="AU264" s="240">
        <f t="shared" si="174"/>
        <v>0</v>
      </c>
    </row>
    <row r="265" spans="1:47" s="274" customFormat="1" ht="15" x14ac:dyDescent="0.25">
      <c r="A265" s="274" t="str">
        <f t="shared" si="175"/>
        <v>allRecyclingCRY1Y2X</v>
      </c>
      <c r="B265" s="241" t="str">
        <f t="shared" si="176"/>
        <v>VancRecyclingCRY1Y2X</v>
      </c>
      <c r="C265" s="232" t="s">
        <v>1023</v>
      </c>
      <c r="D265" s="232" t="s">
        <v>1024</v>
      </c>
      <c r="E265" s="238">
        <v>260.49</v>
      </c>
      <c r="F265" s="238">
        <v>273.51</v>
      </c>
      <c r="G265" s="238">
        <v>273.51</v>
      </c>
      <c r="I265" s="243">
        <v>781.47</v>
      </c>
      <c r="J265" s="243">
        <v>781.47</v>
      </c>
      <c r="K265" s="243">
        <v>781.47</v>
      </c>
      <c r="L265" s="243">
        <v>820.53</v>
      </c>
      <c r="M265" s="243">
        <v>820.53</v>
      </c>
      <c r="N265" s="243">
        <v>820.53</v>
      </c>
      <c r="O265" s="243">
        <v>820.53</v>
      </c>
      <c r="P265" s="243">
        <v>820.53</v>
      </c>
      <c r="Q265" s="243">
        <v>820.53</v>
      </c>
      <c r="R265" s="243">
        <v>820.53</v>
      </c>
      <c r="S265" s="243">
        <v>820.53</v>
      </c>
      <c r="T265" s="243">
        <v>820.53</v>
      </c>
      <c r="U265" s="263">
        <f t="shared" si="157"/>
        <v>9729.1799999999985</v>
      </c>
      <c r="W265" s="264">
        <f t="shared" si="158"/>
        <v>3</v>
      </c>
      <c r="X265" s="264">
        <f t="shared" si="159"/>
        <v>3</v>
      </c>
      <c r="Y265" s="264">
        <f t="shared" si="160"/>
        <v>3</v>
      </c>
      <c r="Z265" s="264">
        <f t="shared" si="161"/>
        <v>3</v>
      </c>
      <c r="AA265" s="264">
        <f t="shared" si="162"/>
        <v>3</v>
      </c>
      <c r="AB265" s="264">
        <f t="shared" si="163"/>
        <v>3</v>
      </c>
      <c r="AC265" s="264">
        <f t="shared" si="164"/>
        <v>3</v>
      </c>
      <c r="AD265" s="264">
        <f t="shared" si="165"/>
        <v>3</v>
      </c>
      <c r="AE265" s="264">
        <f t="shared" si="166"/>
        <v>3</v>
      </c>
      <c r="AF265" s="264">
        <f t="shared" si="167"/>
        <v>3</v>
      </c>
      <c r="AG265" s="264">
        <f t="shared" si="168"/>
        <v>3</v>
      </c>
      <c r="AH265" s="264">
        <f t="shared" si="169"/>
        <v>3</v>
      </c>
      <c r="AI265" s="265">
        <f t="shared" si="177"/>
        <v>3</v>
      </c>
      <c r="AJ265" s="266">
        <f t="shared" si="170"/>
        <v>36</v>
      </c>
      <c r="AK265" s="262"/>
      <c r="AN265" s="241">
        <v>0</v>
      </c>
      <c r="AO265" s="240">
        <f t="shared" si="171"/>
        <v>0</v>
      </c>
      <c r="AP265" s="241">
        <v>1</v>
      </c>
      <c r="AQ265" s="240">
        <f t="shared" si="172"/>
        <v>3</v>
      </c>
      <c r="AR265" s="241">
        <v>0</v>
      </c>
      <c r="AS265" s="240">
        <f t="shared" si="173"/>
        <v>0</v>
      </c>
      <c r="AT265" s="241">
        <v>0</v>
      </c>
      <c r="AU265" s="240">
        <f t="shared" si="174"/>
        <v>0</v>
      </c>
    </row>
    <row r="266" spans="1:47" s="274" customFormat="1" ht="15" x14ac:dyDescent="0.25">
      <c r="A266" s="274" t="str">
        <f t="shared" si="175"/>
        <v>allRecyclingCRY1YEOW</v>
      </c>
      <c r="B266" s="241" t="str">
        <f t="shared" si="176"/>
        <v>VancRecyclingCRY1YEOW</v>
      </c>
      <c r="C266" s="232" t="s">
        <v>458</v>
      </c>
      <c r="D266" s="232" t="s">
        <v>541</v>
      </c>
      <c r="E266" s="238">
        <v>88.85</v>
      </c>
      <c r="F266" s="238">
        <v>93.289999999999978</v>
      </c>
      <c r="G266" s="238">
        <v>93.289999999999978</v>
      </c>
      <c r="I266" s="243">
        <v>1074.97</v>
      </c>
      <c r="J266" s="243">
        <v>1074.97</v>
      </c>
      <c r="K266" s="243">
        <v>1090.3900000000001</v>
      </c>
      <c r="L266" s="243">
        <v>1142.6500000000001</v>
      </c>
      <c r="M266" s="243">
        <v>1142.6500000000001</v>
      </c>
      <c r="N266" s="243">
        <v>1142.6500000000001</v>
      </c>
      <c r="O266" s="243">
        <v>1142.6500000000001</v>
      </c>
      <c r="P266" s="243">
        <v>1142.6500000000001</v>
      </c>
      <c r="Q266" s="243">
        <v>1142.6500000000001</v>
      </c>
      <c r="R266" s="243">
        <v>1142.6500000000001</v>
      </c>
      <c r="S266" s="243">
        <v>1142.6500000000001</v>
      </c>
      <c r="T266" s="243">
        <v>1145.52</v>
      </c>
      <c r="U266" s="263">
        <f t="shared" si="157"/>
        <v>13527.049999999997</v>
      </c>
      <c r="W266" s="264">
        <f t="shared" si="158"/>
        <v>12.098705683736636</v>
      </c>
      <c r="X266" s="264">
        <f t="shared" si="159"/>
        <v>12.098705683736636</v>
      </c>
      <c r="Y266" s="264">
        <f t="shared" si="160"/>
        <v>12.272256612267869</v>
      </c>
      <c r="Z266" s="264">
        <f t="shared" si="161"/>
        <v>12.248365312466506</v>
      </c>
      <c r="AA266" s="264">
        <f t="shared" si="162"/>
        <v>12.248365312466506</v>
      </c>
      <c r="AB266" s="264">
        <f t="shared" si="163"/>
        <v>12.248365312466506</v>
      </c>
      <c r="AC266" s="264">
        <f t="shared" si="164"/>
        <v>12.248365312466506</v>
      </c>
      <c r="AD266" s="264">
        <f t="shared" si="165"/>
        <v>12.248365312466506</v>
      </c>
      <c r="AE266" s="264">
        <f t="shared" si="166"/>
        <v>12.248365312466506</v>
      </c>
      <c r="AF266" s="264">
        <f t="shared" si="167"/>
        <v>12.248365312466506</v>
      </c>
      <c r="AG266" s="264">
        <f t="shared" si="168"/>
        <v>12.248365312466506</v>
      </c>
      <c r="AH266" s="264">
        <f t="shared" si="169"/>
        <v>12.279129595883806</v>
      </c>
      <c r="AI266" s="265">
        <f t="shared" si="177"/>
        <v>12.227976672946417</v>
      </c>
      <c r="AJ266" s="266">
        <f t="shared" si="170"/>
        <v>146.73572007535699</v>
      </c>
      <c r="AK266" s="262"/>
      <c r="AN266" s="241">
        <v>0</v>
      </c>
      <c r="AO266" s="240">
        <f t="shared" si="171"/>
        <v>0</v>
      </c>
      <c r="AP266" s="241">
        <v>1</v>
      </c>
      <c r="AQ266" s="240">
        <f t="shared" si="172"/>
        <v>12.227976672946417</v>
      </c>
      <c r="AR266" s="241">
        <v>0</v>
      </c>
      <c r="AS266" s="240">
        <f t="shared" si="173"/>
        <v>0</v>
      </c>
      <c r="AT266" s="241">
        <v>0</v>
      </c>
      <c r="AU266" s="240">
        <f t="shared" si="174"/>
        <v>0</v>
      </c>
    </row>
    <row r="267" spans="1:47" s="274" customFormat="1" ht="15" x14ac:dyDescent="0.25">
      <c r="A267" s="274" t="str">
        <f t="shared" si="175"/>
        <v>allRecyclingCRY2Y1MO</v>
      </c>
      <c r="B267" s="241" t="str">
        <f t="shared" si="176"/>
        <v>VancRecyclingCRY2Y1MO</v>
      </c>
      <c r="C267" s="232" t="s">
        <v>460</v>
      </c>
      <c r="D267" s="232" t="s">
        <v>543</v>
      </c>
      <c r="E267" s="238">
        <v>59.04</v>
      </c>
      <c r="F267" s="238">
        <v>61.989999999999995</v>
      </c>
      <c r="G267" s="238">
        <v>61.989999999999995</v>
      </c>
      <c r="I267" s="243">
        <v>51.33</v>
      </c>
      <c r="J267" s="243">
        <v>51.33</v>
      </c>
      <c r="K267" s="243">
        <v>51.33</v>
      </c>
      <c r="L267" s="243">
        <v>53.9</v>
      </c>
      <c r="M267" s="243">
        <v>53.9</v>
      </c>
      <c r="N267" s="243">
        <v>53.9</v>
      </c>
      <c r="O267" s="243">
        <v>53.9</v>
      </c>
      <c r="P267" s="243">
        <v>53.9</v>
      </c>
      <c r="Q267" s="243">
        <v>53.9</v>
      </c>
      <c r="R267" s="243">
        <v>53.9</v>
      </c>
      <c r="S267" s="243">
        <v>53.9</v>
      </c>
      <c r="T267" s="243">
        <v>53.9</v>
      </c>
      <c r="U267" s="263">
        <f t="shared" si="157"/>
        <v>639.08999999999992</v>
      </c>
      <c r="W267" s="264">
        <f t="shared" si="158"/>
        <v>0.86941056910569103</v>
      </c>
      <c r="X267" s="264">
        <f t="shared" si="159"/>
        <v>0.86941056910569103</v>
      </c>
      <c r="Y267" s="264">
        <f t="shared" si="160"/>
        <v>0.86941056910569103</v>
      </c>
      <c r="Z267" s="264">
        <f t="shared" si="161"/>
        <v>0.86949507985158903</v>
      </c>
      <c r="AA267" s="264">
        <f t="shared" si="162"/>
        <v>0.86949507985158903</v>
      </c>
      <c r="AB267" s="264">
        <f t="shared" si="163"/>
        <v>0.86949507985158903</v>
      </c>
      <c r="AC267" s="264">
        <f t="shared" si="164"/>
        <v>0.86949507985158903</v>
      </c>
      <c r="AD267" s="264">
        <f t="shared" si="165"/>
        <v>0.86949507985158903</v>
      </c>
      <c r="AE267" s="264">
        <f t="shared" si="166"/>
        <v>0.86949507985158903</v>
      </c>
      <c r="AF267" s="264">
        <f t="shared" si="167"/>
        <v>0.86949507985158903</v>
      </c>
      <c r="AG267" s="264">
        <f t="shared" si="168"/>
        <v>0.86949507985158903</v>
      </c>
      <c r="AH267" s="264">
        <f t="shared" si="169"/>
        <v>0.86949507985158903</v>
      </c>
      <c r="AI267" s="265">
        <f t="shared" si="177"/>
        <v>0.86947395216511458</v>
      </c>
      <c r="AJ267" s="266">
        <f t="shared" si="170"/>
        <v>10.433687425981375</v>
      </c>
      <c r="AK267" s="262"/>
      <c r="AN267" s="241">
        <v>0</v>
      </c>
      <c r="AO267" s="240">
        <f t="shared" si="171"/>
        <v>0</v>
      </c>
      <c r="AP267" s="241">
        <v>1</v>
      </c>
      <c r="AQ267" s="240">
        <f t="shared" si="172"/>
        <v>0.86947395216511458</v>
      </c>
      <c r="AR267" s="241">
        <v>0</v>
      </c>
      <c r="AS267" s="240">
        <f t="shared" si="173"/>
        <v>0</v>
      </c>
      <c r="AT267" s="241">
        <v>0</v>
      </c>
      <c r="AU267" s="240">
        <f t="shared" si="174"/>
        <v>0</v>
      </c>
    </row>
    <row r="268" spans="1:47" s="274" customFormat="1" ht="15" x14ac:dyDescent="0.25">
      <c r="A268" s="274" t="str">
        <f t="shared" si="175"/>
        <v>allRecyclingCRY2Y1X</v>
      </c>
      <c r="B268" s="241" t="str">
        <f t="shared" si="176"/>
        <v>VancRecyclingCRY2Y1X</v>
      </c>
      <c r="C268" s="232" t="s">
        <v>461</v>
      </c>
      <c r="D268" s="232" t="s">
        <v>544</v>
      </c>
      <c r="E268" s="238">
        <v>157.93</v>
      </c>
      <c r="F268" s="238">
        <v>165.83</v>
      </c>
      <c r="G268" s="238">
        <v>165.83</v>
      </c>
      <c r="I268" s="243">
        <v>8558.2800000000007</v>
      </c>
      <c r="J268" s="243">
        <v>8850.44</v>
      </c>
      <c r="K268" s="243">
        <v>8874.14</v>
      </c>
      <c r="L268" s="243">
        <v>8570</v>
      </c>
      <c r="M268" s="243">
        <v>9156.31</v>
      </c>
      <c r="N268" s="243">
        <v>9156.31</v>
      </c>
      <c r="O268" s="243">
        <v>9278.9599999999991</v>
      </c>
      <c r="P268" s="243">
        <v>9196.0499999999993</v>
      </c>
      <c r="Q268" s="243">
        <v>9776.4500000000007</v>
      </c>
      <c r="R268" s="243">
        <v>9478.4500000000007</v>
      </c>
      <c r="S268" s="243">
        <v>8773.68</v>
      </c>
      <c r="T268" s="243">
        <v>9153.68</v>
      </c>
      <c r="U268" s="263">
        <f t="shared" si="157"/>
        <v>108822.74999999997</v>
      </c>
      <c r="W268" s="264">
        <f t="shared" si="158"/>
        <v>54.190337491293612</v>
      </c>
      <c r="X268" s="264">
        <f t="shared" si="159"/>
        <v>56.040271006141964</v>
      </c>
      <c r="Y268" s="264">
        <f t="shared" si="160"/>
        <v>56.190337491293604</v>
      </c>
      <c r="Z268" s="264">
        <f t="shared" si="161"/>
        <v>51.679430742326474</v>
      </c>
      <c r="AA268" s="264">
        <f t="shared" si="162"/>
        <v>55.215039498281364</v>
      </c>
      <c r="AB268" s="264">
        <f t="shared" si="163"/>
        <v>55.215039498281364</v>
      </c>
      <c r="AC268" s="264">
        <f t="shared" si="164"/>
        <v>55.954652354821192</v>
      </c>
      <c r="AD268" s="264">
        <f t="shared" si="165"/>
        <v>55.454682506181022</v>
      </c>
      <c r="AE268" s="264">
        <f t="shared" si="166"/>
        <v>58.954652354821199</v>
      </c>
      <c r="AF268" s="264">
        <f t="shared" si="167"/>
        <v>57.157631309172046</v>
      </c>
      <c r="AG268" s="264">
        <f t="shared" si="168"/>
        <v>52.907676536211781</v>
      </c>
      <c r="AH268" s="264">
        <f t="shared" si="169"/>
        <v>55.199179883012718</v>
      </c>
      <c r="AI268" s="265">
        <f t="shared" si="177"/>
        <v>55.346577555986521</v>
      </c>
      <c r="AJ268" s="266">
        <f t="shared" si="170"/>
        <v>664.15893067183822</v>
      </c>
      <c r="AK268" s="262"/>
      <c r="AN268" s="241">
        <v>0</v>
      </c>
      <c r="AO268" s="240">
        <f t="shared" si="171"/>
        <v>0</v>
      </c>
      <c r="AP268" s="241">
        <v>1</v>
      </c>
      <c r="AQ268" s="240">
        <f t="shared" si="172"/>
        <v>55.346577555986521</v>
      </c>
      <c r="AR268" s="241">
        <v>0</v>
      </c>
      <c r="AS268" s="240">
        <f t="shared" si="173"/>
        <v>0</v>
      </c>
      <c r="AT268" s="241">
        <v>0</v>
      </c>
      <c r="AU268" s="240">
        <f t="shared" si="174"/>
        <v>0</v>
      </c>
    </row>
    <row r="269" spans="1:47" s="274" customFormat="1" ht="15" x14ac:dyDescent="0.25">
      <c r="A269" s="274" t="str">
        <f t="shared" si="175"/>
        <v>allRecyclingCRY2Y2X</v>
      </c>
      <c r="B269" s="241" t="str">
        <f t="shared" si="176"/>
        <v>VancRecyclingCRY2Y2X</v>
      </c>
      <c r="C269" s="232" t="s">
        <v>462</v>
      </c>
      <c r="D269" s="232" t="s">
        <v>545</v>
      </c>
      <c r="E269" s="238">
        <v>285.45999999999998</v>
      </c>
      <c r="F269" s="238">
        <v>299.72999999999996</v>
      </c>
      <c r="G269" s="238">
        <v>299.72999999999996</v>
      </c>
      <c r="I269" s="243">
        <v>5650.1</v>
      </c>
      <c r="J269" s="243">
        <v>5650.1</v>
      </c>
      <c r="K269" s="243">
        <v>5650.1</v>
      </c>
      <c r="L269" s="243">
        <v>5890.7</v>
      </c>
      <c r="M269" s="243">
        <v>5890.7</v>
      </c>
      <c r="N269" s="243">
        <v>5890.7</v>
      </c>
      <c r="O269" s="243">
        <v>5890.7</v>
      </c>
      <c r="P269" s="243">
        <v>5890.7</v>
      </c>
      <c r="Q269" s="243">
        <v>6040.57</v>
      </c>
      <c r="R269" s="243">
        <v>6241.28</v>
      </c>
      <c r="S269" s="243">
        <v>6241.28</v>
      </c>
      <c r="T269" s="243">
        <v>6241.28</v>
      </c>
      <c r="U269" s="263">
        <f t="shared" si="157"/>
        <v>71168.209999999992</v>
      </c>
      <c r="W269" s="264">
        <f t="shared" si="158"/>
        <v>19.792965739508166</v>
      </c>
      <c r="X269" s="264">
        <f t="shared" si="159"/>
        <v>19.792965739508166</v>
      </c>
      <c r="Y269" s="264">
        <f t="shared" si="160"/>
        <v>19.792965739508166</v>
      </c>
      <c r="Z269" s="264">
        <f t="shared" si="161"/>
        <v>19.653354685883965</v>
      </c>
      <c r="AA269" s="264">
        <f t="shared" si="162"/>
        <v>19.653354685883965</v>
      </c>
      <c r="AB269" s="264">
        <f t="shared" si="163"/>
        <v>19.653354685883965</v>
      </c>
      <c r="AC269" s="264">
        <f t="shared" si="164"/>
        <v>19.653354685883965</v>
      </c>
      <c r="AD269" s="264">
        <f t="shared" si="165"/>
        <v>19.653354685883965</v>
      </c>
      <c r="AE269" s="264">
        <f t="shared" si="166"/>
        <v>20.153371367564144</v>
      </c>
      <c r="AF269" s="264">
        <f t="shared" si="167"/>
        <v>20.823007373302641</v>
      </c>
      <c r="AG269" s="264">
        <f t="shared" si="168"/>
        <v>20.823007373302641</v>
      </c>
      <c r="AH269" s="264">
        <f t="shared" si="169"/>
        <v>20.823007373302641</v>
      </c>
      <c r="AI269" s="265">
        <f t="shared" si="177"/>
        <v>20.022338677951364</v>
      </c>
      <c r="AJ269" s="266">
        <f t="shared" si="170"/>
        <v>240.26806413541635</v>
      </c>
      <c r="AK269" s="262"/>
      <c r="AN269" s="241">
        <v>0</v>
      </c>
      <c r="AO269" s="240">
        <f t="shared" si="171"/>
        <v>0</v>
      </c>
      <c r="AP269" s="241">
        <v>1</v>
      </c>
      <c r="AQ269" s="240">
        <f t="shared" si="172"/>
        <v>20.022338677951364</v>
      </c>
      <c r="AR269" s="241">
        <v>0</v>
      </c>
      <c r="AS269" s="240">
        <f t="shared" si="173"/>
        <v>0</v>
      </c>
      <c r="AT269" s="241">
        <v>0</v>
      </c>
      <c r="AU269" s="240">
        <f t="shared" si="174"/>
        <v>0</v>
      </c>
    </row>
    <row r="270" spans="1:47" s="274" customFormat="1" ht="15" x14ac:dyDescent="0.25">
      <c r="A270" s="274" t="str">
        <f t="shared" si="175"/>
        <v>allRecyclingCRY2Y3X</v>
      </c>
      <c r="B270" s="241" t="str">
        <f t="shared" si="176"/>
        <v>VancRecyclingCRY2Y3X</v>
      </c>
      <c r="C270" s="232" t="s">
        <v>879</v>
      </c>
      <c r="D270" s="232" t="s">
        <v>891</v>
      </c>
      <c r="E270" s="238">
        <v>412.9</v>
      </c>
      <c r="F270" s="238">
        <v>433.55000000000007</v>
      </c>
      <c r="G270" s="238">
        <v>433.55000000000007</v>
      </c>
      <c r="I270" s="243">
        <v>3383.06</v>
      </c>
      <c r="J270" s="243">
        <v>3211.01</v>
      </c>
      <c r="K270" s="243">
        <v>2970.16</v>
      </c>
      <c r="L270" s="243">
        <v>3083.01</v>
      </c>
      <c r="M270" s="243">
        <v>3083.01</v>
      </c>
      <c r="N270" s="243">
        <v>3083.01</v>
      </c>
      <c r="O270" s="243">
        <v>3083.01</v>
      </c>
      <c r="P270" s="243">
        <v>3173.24</v>
      </c>
      <c r="Q270" s="243">
        <v>3173.24</v>
      </c>
      <c r="R270" s="243">
        <v>3191.75</v>
      </c>
      <c r="S270" s="243">
        <v>3191.75</v>
      </c>
      <c r="T270" s="243">
        <v>2758.2</v>
      </c>
      <c r="U270" s="263">
        <f t="shared" si="157"/>
        <v>37384.449999999997</v>
      </c>
      <c r="W270" s="264">
        <f t="shared" si="158"/>
        <v>8.1934124485347546</v>
      </c>
      <c r="X270" s="264">
        <f t="shared" si="159"/>
        <v>7.7767255994187465</v>
      </c>
      <c r="Y270" s="264">
        <f t="shared" si="160"/>
        <v>7.1934124485347546</v>
      </c>
      <c r="Z270" s="264">
        <f t="shared" si="161"/>
        <v>7.111082920078422</v>
      </c>
      <c r="AA270" s="264">
        <f t="shared" si="162"/>
        <v>7.111082920078422</v>
      </c>
      <c r="AB270" s="264">
        <f t="shared" si="163"/>
        <v>7.111082920078422</v>
      </c>
      <c r="AC270" s="264">
        <f t="shared" si="164"/>
        <v>7.111082920078422</v>
      </c>
      <c r="AD270" s="264">
        <f t="shared" si="165"/>
        <v>7.3192019374927906</v>
      </c>
      <c r="AE270" s="264">
        <f t="shared" si="166"/>
        <v>7.3192019374927906</v>
      </c>
      <c r="AF270" s="264">
        <f t="shared" si="167"/>
        <v>7.3618959750893769</v>
      </c>
      <c r="AG270" s="264">
        <f t="shared" si="168"/>
        <v>7.3618959750893769</v>
      </c>
      <c r="AH270" s="264">
        <f t="shared" si="169"/>
        <v>6.3618959750893769</v>
      </c>
      <c r="AI270" s="265">
        <f t="shared" si="177"/>
        <v>7.2776644980879732</v>
      </c>
      <c r="AJ270" s="266">
        <f t="shared" si="170"/>
        <v>87.331973977055682</v>
      </c>
      <c r="AK270" s="262"/>
      <c r="AN270" s="241">
        <v>0</v>
      </c>
      <c r="AO270" s="240">
        <f t="shared" si="171"/>
        <v>0</v>
      </c>
      <c r="AP270" s="241">
        <v>1</v>
      </c>
      <c r="AQ270" s="240">
        <f t="shared" si="172"/>
        <v>7.2776644980879732</v>
      </c>
      <c r="AR270" s="241">
        <v>0</v>
      </c>
      <c r="AS270" s="240">
        <f t="shared" si="173"/>
        <v>0</v>
      </c>
      <c r="AT270" s="241">
        <v>0</v>
      </c>
      <c r="AU270" s="240">
        <f t="shared" si="174"/>
        <v>0</v>
      </c>
    </row>
    <row r="271" spans="1:47" s="274" customFormat="1" ht="15" x14ac:dyDescent="0.25">
      <c r="A271" s="274" t="str">
        <f>"all"&amp;"Recycling"&amp;C271</f>
        <v>allRecyclingCRY2Y4X</v>
      </c>
      <c r="B271" s="241" t="str">
        <f>"Vanc"&amp;"Recycling"&amp;C271</f>
        <v>VancRecyclingCRY2Y4X</v>
      </c>
      <c r="C271" s="232" t="s">
        <v>1248</v>
      </c>
      <c r="D271" s="232" t="s">
        <v>1249</v>
      </c>
      <c r="E271" s="238">
        <v>540.35</v>
      </c>
      <c r="F271" s="238">
        <v>567.37</v>
      </c>
      <c r="G271" s="238">
        <v>567.37</v>
      </c>
      <c r="I271" s="243">
        <v>0</v>
      </c>
      <c r="J271" s="243">
        <v>0</v>
      </c>
      <c r="K271" s="243">
        <v>0</v>
      </c>
      <c r="L271" s="243">
        <v>0</v>
      </c>
      <c r="M271" s="243">
        <v>0</v>
      </c>
      <c r="N271" s="243">
        <v>0</v>
      </c>
      <c r="O271" s="243">
        <v>0</v>
      </c>
      <c r="P271" s="243">
        <v>0</v>
      </c>
      <c r="Q271" s="243">
        <v>0</v>
      </c>
      <c r="R271" s="243">
        <v>0</v>
      </c>
      <c r="S271" s="243">
        <v>0</v>
      </c>
      <c r="T271" s="243">
        <v>70.92</v>
      </c>
      <c r="U271" s="263">
        <f t="shared" si="157"/>
        <v>70.92</v>
      </c>
      <c r="W271" s="264">
        <f t="shared" si="158"/>
        <v>0</v>
      </c>
      <c r="X271" s="264">
        <f t="shared" si="159"/>
        <v>0</v>
      </c>
      <c r="Y271" s="264">
        <f t="shared" si="160"/>
        <v>0</v>
      </c>
      <c r="Z271" s="264">
        <f t="shared" si="161"/>
        <v>0</v>
      </c>
      <c r="AA271" s="264">
        <f t="shared" si="162"/>
        <v>0</v>
      </c>
      <c r="AB271" s="264">
        <f t="shared" si="163"/>
        <v>0</v>
      </c>
      <c r="AC271" s="264">
        <f t="shared" si="164"/>
        <v>0</v>
      </c>
      <c r="AD271" s="264">
        <f t="shared" si="165"/>
        <v>0</v>
      </c>
      <c r="AE271" s="264">
        <f t="shared" si="166"/>
        <v>0</v>
      </c>
      <c r="AF271" s="264">
        <f t="shared" si="167"/>
        <v>0</v>
      </c>
      <c r="AG271" s="264">
        <f t="shared" si="168"/>
        <v>0</v>
      </c>
      <c r="AH271" s="264">
        <f t="shared" si="169"/>
        <v>0.12499779685214234</v>
      </c>
      <c r="AI271" s="265">
        <f>+IFERROR(AVERAGE(W271:AH271),0)</f>
        <v>1.0416483071011862E-2</v>
      </c>
      <c r="AJ271" s="266">
        <f t="shared" si="170"/>
        <v>0.12499779685214234</v>
      </c>
      <c r="AK271" s="262"/>
      <c r="AN271" s="241">
        <v>0</v>
      </c>
      <c r="AO271" s="240">
        <f t="shared" si="171"/>
        <v>0</v>
      </c>
      <c r="AP271" s="241">
        <v>1</v>
      </c>
      <c r="AQ271" s="240">
        <f t="shared" si="172"/>
        <v>1.0416483071011862E-2</v>
      </c>
      <c r="AR271" s="241">
        <v>0</v>
      </c>
      <c r="AS271" s="240">
        <f t="shared" si="173"/>
        <v>0</v>
      </c>
      <c r="AT271" s="241">
        <v>0</v>
      </c>
      <c r="AU271" s="240">
        <f t="shared" si="174"/>
        <v>0</v>
      </c>
    </row>
    <row r="272" spans="1:47" s="274" customFormat="1" ht="15" x14ac:dyDescent="0.25">
      <c r="A272" s="274" t="str">
        <f t="shared" si="175"/>
        <v>allRecyclingCRY2-3Y1X</v>
      </c>
      <c r="B272" s="241" t="str">
        <f>"Vanc"&amp;"Recycling"&amp;C272</f>
        <v>VancRecyclingCRY2-3Y1X</v>
      </c>
      <c r="C272" s="232" t="s">
        <v>1019</v>
      </c>
      <c r="D272" s="232" t="s">
        <v>1020</v>
      </c>
      <c r="E272" s="238">
        <v>296.55</v>
      </c>
      <c r="F272" s="238">
        <v>311.38000000000005</v>
      </c>
      <c r="G272" s="238">
        <v>311.38000000000005</v>
      </c>
      <c r="I272" s="243">
        <v>269.58999999999997</v>
      </c>
      <c r="J272" s="243">
        <v>269.58999999999997</v>
      </c>
      <c r="K272" s="243">
        <v>269.58999999999997</v>
      </c>
      <c r="L272" s="243">
        <v>283.07</v>
      </c>
      <c r="M272" s="243">
        <v>283.07</v>
      </c>
      <c r="N272" s="243">
        <v>283.07</v>
      </c>
      <c r="O272" s="243">
        <v>283.07</v>
      </c>
      <c r="P272" s="243">
        <v>283.07</v>
      </c>
      <c r="Q272" s="243">
        <v>283.07</v>
      </c>
      <c r="R272" s="243">
        <v>283.07</v>
      </c>
      <c r="S272" s="243">
        <v>283.07</v>
      </c>
      <c r="T272" s="243">
        <v>283.07</v>
      </c>
      <c r="U272" s="263">
        <f t="shared" si="157"/>
        <v>3356.4000000000005</v>
      </c>
      <c r="W272" s="264">
        <f t="shared" si="158"/>
        <v>0.90908784353397387</v>
      </c>
      <c r="X272" s="264">
        <f t="shared" si="159"/>
        <v>0.90908784353397387</v>
      </c>
      <c r="Y272" s="264">
        <f t="shared" si="160"/>
        <v>0.90908784353397387</v>
      </c>
      <c r="Z272" s="264">
        <f t="shared" si="161"/>
        <v>0.9090821504271307</v>
      </c>
      <c r="AA272" s="264">
        <f t="shared" si="162"/>
        <v>0.9090821504271307</v>
      </c>
      <c r="AB272" s="264">
        <f t="shared" si="163"/>
        <v>0.9090821504271307</v>
      </c>
      <c r="AC272" s="264">
        <f t="shared" si="164"/>
        <v>0.9090821504271307</v>
      </c>
      <c r="AD272" s="264">
        <f t="shared" si="165"/>
        <v>0.9090821504271307</v>
      </c>
      <c r="AE272" s="264">
        <f t="shared" si="166"/>
        <v>0.9090821504271307</v>
      </c>
      <c r="AF272" s="264">
        <f t="shared" si="167"/>
        <v>0.9090821504271307</v>
      </c>
      <c r="AG272" s="264">
        <f t="shared" si="168"/>
        <v>0.9090821504271307</v>
      </c>
      <c r="AH272" s="264">
        <f t="shared" si="169"/>
        <v>0.9090821504271307</v>
      </c>
      <c r="AI272" s="265">
        <f t="shared" si="177"/>
        <v>0.9090835737038413</v>
      </c>
      <c r="AJ272" s="266">
        <f t="shared" si="170"/>
        <v>10.909002884446096</v>
      </c>
      <c r="AK272" s="262"/>
      <c r="AN272" s="241">
        <v>0</v>
      </c>
      <c r="AO272" s="240">
        <f t="shared" si="171"/>
        <v>0</v>
      </c>
      <c r="AP272" s="241">
        <v>2</v>
      </c>
      <c r="AQ272" s="240">
        <f t="shared" si="172"/>
        <v>1.8181671474076826</v>
      </c>
      <c r="AR272" s="241">
        <v>0</v>
      </c>
      <c r="AS272" s="240">
        <f t="shared" si="173"/>
        <v>0</v>
      </c>
      <c r="AT272" s="241">
        <v>0</v>
      </c>
      <c r="AU272" s="240">
        <f t="shared" si="174"/>
        <v>0</v>
      </c>
    </row>
    <row r="273" spans="1:47" s="274" customFormat="1" ht="15" x14ac:dyDescent="0.25">
      <c r="A273" s="274" t="str">
        <f t="shared" si="175"/>
        <v>allRecyclingCRY2-4Y1X</v>
      </c>
      <c r="B273" s="241" t="str">
        <f t="shared" si="176"/>
        <v>VancRecyclingCRY2-4Y1X</v>
      </c>
      <c r="C273" s="232" t="s">
        <v>474</v>
      </c>
      <c r="D273" s="232" t="s">
        <v>557</v>
      </c>
      <c r="E273" s="238">
        <v>329.77</v>
      </c>
      <c r="F273" s="238">
        <v>346.26</v>
      </c>
      <c r="G273" s="238">
        <v>346.26</v>
      </c>
      <c r="I273" s="243">
        <v>603.15</v>
      </c>
      <c r="J273" s="243">
        <v>603.15</v>
      </c>
      <c r="K273" s="243">
        <v>603.15</v>
      </c>
      <c r="L273" s="243">
        <v>633.32000000000005</v>
      </c>
      <c r="M273" s="243">
        <v>633.32000000000005</v>
      </c>
      <c r="N273" s="243">
        <v>633.32000000000005</v>
      </c>
      <c r="O273" s="243">
        <v>633.32000000000005</v>
      </c>
      <c r="P273" s="243">
        <v>633.32000000000005</v>
      </c>
      <c r="Q273" s="243">
        <v>633.32000000000005</v>
      </c>
      <c r="R273" s="243">
        <v>633.32000000000005</v>
      </c>
      <c r="S273" s="243">
        <v>633.32000000000005</v>
      </c>
      <c r="T273" s="243">
        <v>633.32000000000005</v>
      </c>
      <c r="U273" s="263">
        <f t="shared" si="157"/>
        <v>7509.329999999999</v>
      </c>
      <c r="W273" s="264">
        <f t="shared" si="158"/>
        <v>1.8290020317190769</v>
      </c>
      <c r="X273" s="264">
        <f t="shared" si="159"/>
        <v>1.8290020317190769</v>
      </c>
      <c r="Y273" s="264">
        <f t="shared" si="160"/>
        <v>1.8290020317190769</v>
      </c>
      <c r="Z273" s="264">
        <f t="shared" si="161"/>
        <v>1.8290302085138337</v>
      </c>
      <c r="AA273" s="264">
        <f t="shared" si="162"/>
        <v>1.8290302085138337</v>
      </c>
      <c r="AB273" s="264">
        <f t="shared" si="163"/>
        <v>1.8290302085138337</v>
      </c>
      <c r="AC273" s="264">
        <f t="shared" si="164"/>
        <v>1.8290302085138337</v>
      </c>
      <c r="AD273" s="264">
        <f t="shared" si="165"/>
        <v>1.8290302085138337</v>
      </c>
      <c r="AE273" s="264">
        <f t="shared" si="166"/>
        <v>1.8290302085138337</v>
      </c>
      <c r="AF273" s="264">
        <f t="shared" si="167"/>
        <v>1.8290302085138337</v>
      </c>
      <c r="AG273" s="264">
        <f t="shared" si="168"/>
        <v>1.8290302085138337</v>
      </c>
      <c r="AH273" s="264">
        <f t="shared" si="169"/>
        <v>1.8290302085138337</v>
      </c>
      <c r="AI273" s="265">
        <f t="shared" si="177"/>
        <v>1.8290231643151447</v>
      </c>
      <c r="AJ273" s="266">
        <f t="shared" si="170"/>
        <v>21.948277971781735</v>
      </c>
      <c r="AK273" s="262"/>
      <c r="AN273" s="241">
        <v>0</v>
      </c>
      <c r="AO273" s="240">
        <f t="shared" si="171"/>
        <v>0</v>
      </c>
      <c r="AP273" s="241">
        <v>2</v>
      </c>
      <c r="AQ273" s="240">
        <f t="shared" si="172"/>
        <v>3.6580463286302893</v>
      </c>
      <c r="AR273" s="241">
        <v>0</v>
      </c>
      <c r="AS273" s="240">
        <f t="shared" si="173"/>
        <v>0</v>
      </c>
      <c r="AT273" s="241">
        <v>0</v>
      </c>
      <c r="AU273" s="240">
        <f t="shared" si="174"/>
        <v>0</v>
      </c>
    </row>
    <row r="274" spans="1:47" s="274" customFormat="1" ht="15" x14ac:dyDescent="0.25">
      <c r="A274" s="274" t="str">
        <f t="shared" si="175"/>
        <v>allRecyclingCRY2-4Y2X</v>
      </c>
      <c r="B274" s="241" t="str">
        <f>"Vanc"&amp;"Recycling"&amp;C274</f>
        <v>VancRecyclingCRY2-4Y2X</v>
      </c>
      <c r="C274" s="232" t="s">
        <v>475</v>
      </c>
      <c r="D274" s="232" t="s">
        <v>558</v>
      </c>
      <c r="E274" s="238">
        <v>581.97</v>
      </c>
      <c r="F274" s="238">
        <v>611.07000000000005</v>
      </c>
      <c r="G274" s="238">
        <v>611.07000000000005</v>
      </c>
      <c r="I274" s="243">
        <v>1058.1199999999999</v>
      </c>
      <c r="J274" s="243">
        <v>1058.1199999999999</v>
      </c>
      <c r="K274" s="243">
        <v>1058.1199999999999</v>
      </c>
      <c r="L274" s="243">
        <v>1111.02</v>
      </c>
      <c r="M274" s="243">
        <v>1111.02</v>
      </c>
      <c r="N274" s="243">
        <v>1111.02</v>
      </c>
      <c r="O274" s="243">
        <v>1722.09</v>
      </c>
      <c r="P274" s="243">
        <v>1722.09</v>
      </c>
      <c r="Q274" s="243">
        <v>1722.09</v>
      </c>
      <c r="R274" s="243">
        <v>1722.09</v>
      </c>
      <c r="S274" s="243">
        <v>1722.09</v>
      </c>
      <c r="T274" s="243">
        <v>1722.09</v>
      </c>
      <c r="U274" s="263">
        <f t="shared" si="157"/>
        <v>16839.96</v>
      </c>
      <c r="W274" s="264">
        <f t="shared" si="158"/>
        <v>1.8181693214426857</v>
      </c>
      <c r="X274" s="264">
        <f t="shared" si="159"/>
        <v>1.8181693214426857</v>
      </c>
      <c r="Y274" s="264">
        <f t="shared" si="160"/>
        <v>1.8181693214426857</v>
      </c>
      <c r="Z274" s="264">
        <f t="shared" si="161"/>
        <v>1.8181550395208403</v>
      </c>
      <c r="AA274" s="264">
        <f t="shared" si="162"/>
        <v>1.8181550395208403</v>
      </c>
      <c r="AB274" s="264">
        <f t="shared" si="163"/>
        <v>1.8181550395208403</v>
      </c>
      <c r="AC274" s="264">
        <f t="shared" si="164"/>
        <v>2.8181550395208403</v>
      </c>
      <c r="AD274" s="264">
        <f t="shared" si="165"/>
        <v>2.8181550395208403</v>
      </c>
      <c r="AE274" s="264">
        <f t="shared" si="166"/>
        <v>2.8181550395208403</v>
      </c>
      <c r="AF274" s="264">
        <f t="shared" si="167"/>
        <v>2.8181550395208403</v>
      </c>
      <c r="AG274" s="264">
        <f t="shared" si="168"/>
        <v>2.8181550395208403</v>
      </c>
      <c r="AH274" s="264">
        <f t="shared" si="169"/>
        <v>2.8181550395208403</v>
      </c>
      <c r="AI274" s="265">
        <f t="shared" si="177"/>
        <v>2.3181586100013014</v>
      </c>
      <c r="AJ274" s="266">
        <f t="shared" si="170"/>
        <v>27.817903320015617</v>
      </c>
      <c r="AK274" s="262"/>
      <c r="AN274" s="241">
        <v>0</v>
      </c>
      <c r="AO274" s="240">
        <f t="shared" si="171"/>
        <v>0</v>
      </c>
      <c r="AP274" s="241">
        <v>2</v>
      </c>
      <c r="AQ274" s="240">
        <f t="shared" si="172"/>
        <v>4.6363172200026028</v>
      </c>
      <c r="AR274" s="241">
        <v>0</v>
      </c>
      <c r="AS274" s="240">
        <f t="shared" si="173"/>
        <v>0</v>
      </c>
      <c r="AT274" s="241">
        <v>0</v>
      </c>
      <c r="AU274" s="240">
        <f t="shared" si="174"/>
        <v>0</v>
      </c>
    </row>
    <row r="275" spans="1:47" s="274" customFormat="1" ht="15" x14ac:dyDescent="0.25">
      <c r="A275" s="274" t="str">
        <f t="shared" si="175"/>
        <v>allRecyclingCRY2YEOW</v>
      </c>
      <c r="B275" s="241" t="str">
        <f t="shared" si="176"/>
        <v>VancRecyclingCRY2YEOW</v>
      </c>
      <c r="C275" s="232" t="s">
        <v>463</v>
      </c>
      <c r="D275" s="232" t="s">
        <v>546</v>
      </c>
      <c r="E275" s="238">
        <v>97.39</v>
      </c>
      <c r="F275" s="238">
        <v>102.26</v>
      </c>
      <c r="G275" s="238">
        <v>102.26</v>
      </c>
      <c r="I275" s="243">
        <v>2192.41</v>
      </c>
      <c r="J275" s="243">
        <v>2265.46</v>
      </c>
      <c r="K275" s="243">
        <v>2265.46</v>
      </c>
      <c r="L275" s="243">
        <v>2365.92</v>
      </c>
      <c r="M275" s="243">
        <v>2365.92</v>
      </c>
      <c r="N275" s="243">
        <v>2468.1799999999998</v>
      </c>
      <c r="O275" s="243">
        <v>2468.1799999999998</v>
      </c>
      <c r="P275" s="243">
        <v>2468.1799999999998</v>
      </c>
      <c r="Q275" s="243">
        <v>2365.92</v>
      </c>
      <c r="R275" s="243">
        <v>2365.92</v>
      </c>
      <c r="S275" s="243">
        <v>2365.92</v>
      </c>
      <c r="T275" s="243">
        <v>2370.38</v>
      </c>
      <c r="U275" s="263">
        <f t="shared" si="157"/>
        <v>28327.849999999995</v>
      </c>
      <c r="W275" s="264">
        <f t="shared" si="158"/>
        <v>22.511654173939828</v>
      </c>
      <c r="X275" s="264">
        <f t="shared" si="159"/>
        <v>23.261731183899784</v>
      </c>
      <c r="Y275" s="264">
        <f t="shared" si="160"/>
        <v>23.261731183899784</v>
      </c>
      <c r="Z275" s="264">
        <f t="shared" si="161"/>
        <v>23.136319186387638</v>
      </c>
      <c r="AA275" s="264">
        <f t="shared" si="162"/>
        <v>23.136319186387638</v>
      </c>
      <c r="AB275" s="264">
        <f t="shared" si="163"/>
        <v>24.136319186387638</v>
      </c>
      <c r="AC275" s="264">
        <f t="shared" si="164"/>
        <v>24.136319186387638</v>
      </c>
      <c r="AD275" s="264">
        <f t="shared" si="165"/>
        <v>24.136319186387638</v>
      </c>
      <c r="AE275" s="264">
        <f t="shared" si="166"/>
        <v>23.136319186387638</v>
      </c>
      <c r="AF275" s="264">
        <f t="shared" si="167"/>
        <v>23.136319186387638</v>
      </c>
      <c r="AG275" s="264">
        <f t="shared" si="168"/>
        <v>23.136319186387638</v>
      </c>
      <c r="AH275" s="264">
        <f t="shared" si="169"/>
        <v>23.179933502835908</v>
      </c>
      <c r="AI275" s="265">
        <f t="shared" si="177"/>
        <v>23.358800294639707</v>
      </c>
      <c r="AJ275" s="266">
        <f t="shared" si="170"/>
        <v>280.30560353567648</v>
      </c>
      <c r="AK275" s="262"/>
      <c r="AN275" s="241">
        <v>0</v>
      </c>
      <c r="AO275" s="240">
        <f t="shared" si="171"/>
        <v>0</v>
      </c>
      <c r="AP275" s="241">
        <v>1</v>
      </c>
      <c r="AQ275" s="240">
        <f t="shared" si="172"/>
        <v>23.358800294639707</v>
      </c>
      <c r="AR275" s="241">
        <v>0</v>
      </c>
      <c r="AS275" s="240">
        <f t="shared" si="173"/>
        <v>0</v>
      </c>
      <c r="AT275" s="241">
        <v>0</v>
      </c>
      <c r="AU275" s="240">
        <f t="shared" si="174"/>
        <v>0</v>
      </c>
    </row>
    <row r="276" spans="1:47" s="274" customFormat="1" ht="15" x14ac:dyDescent="0.25">
      <c r="A276" s="274" t="str">
        <f t="shared" si="175"/>
        <v>allRecyclingCRY3Y1X</v>
      </c>
      <c r="B276" s="241" t="str">
        <f t="shared" si="176"/>
        <v>VancRecyclingCRY3Y1X</v>
      </c>
      <c r="C276" s="232" t="s">
        <v>465</v>
      </c>
      <c r="D276" s="232" t="s">
        <v>548</v>
      </c>
      <c r="E276" s="238">
        <v>171.84</v>
      </c>
      <c r="F276" s="238">
        <v>180.43000000000004</v>
      </c>
      <c r="G276" s="238">
        <v>180.43000000000004</v>
      </c>
      <c r="I276" s="243">
        <v>9589.91</v>
      </c>
      <c r="J276" s="243">
        <v>9761.75</v>
      </c>
      <c r="K276" s="243">
        <v>9890.6299999999992</v>
      </c>
      <c r="L276" s="243">
        <v>9059.16</v>
      </c>
      <c r="M276" s="243">
        <v>9866.81</v>
      </c>
      <c r="N276" s="243">
        <v>10002.14</v>
      </c>
      <c r="O276" s="243">
        <v>9138.75</v>
      </c>
      <c r="P276" s="243">
        <v>10023.719999999999</v>
      </c>
      <c r="Q276" s="243">
        <v>10745.44</v>
      </c>
      <c r="R276" s="243">
        <v>10748.07</v>
      </c>
      <c r="S276" s="243">
        <v>10850.05</v>
      </c>
      <c r="T276" s="243">
        <v>10825.84</v>
      </c>
      <c r="U276" s="263">
        <f t="shared" si="157"/>
        <v>120502.27</v>
      </c>
      <c r="W276" s="264">
        <f t="shared" si="158"/>
        <v>55.807204376163874</v>
      </c>
      <c r="X276" s="264">
        <f t="shared" si="159"/>
        <v>56.807204376163874</v>
      </c>
      <c r="Y276" s="264">
        <f t="shared" si="160"/>
        <v>57.557204376163867</v>
      </c>
      <c r="Z276" s="264">
        <f t="shared" si="161"/>
        <v>50.208723604722046</v>
      </c>
      <c r="AA276" s="264">
        <f t="shared" si="162"/>
        <v>54.684974782464103</v>
      </c>
      <c r="AB276" s="264">
        <f t="shared" si="163"/>
        <v>55.435016349830946</v>
      </c>
      <c r="AC276" s="264">
        <f t="shared" si="164"/>
        <v>50.649836501690395</v>
      </c>
      <c r="AD276" s="264">
        <f t="shared" si="165"/>
        <v>55.554619520035459</v>
      </c>
      <c r="AE276" s="264">
        <f t="shared" si="166"/>
        <v>59.554619520035459</v>
      </c>
      <c r="AF276" s="264">
        <f t="shared" si="167"/>
        <v>59.569195810009411</v>
      </c>
      <c r="AG276" s="264">
        <f t="shared" si="168"/>
        <v>60.134401152801622</v>
      </c>
      <c r="AH276" s="264">
        <f t="shared" si="169"/>
        <v>60.000221692623164</v>
      </c>
      <c r="AI276" s="265">
        <f t="shared" si="177"/>
        <v>56.330268505225355</v>
      </c>
      <c r="AJ276" s="266">
        <f t="shared" si="170"/>
        <v>675.96322206270429</v>
      </c>
      <c r="AK276" s="262"/>
      <c r="AN276" s="241">
        <v>0</v>
      </c>
      <c r="AO276" s="240">
        <f t="shared" si="171"/>
        <v>0</v>
      </c>
      <c r="AP276" s="241">
        <v>1</v>
      </c>
      <c r="AQ276" s="240">
        <f t="shared" si="172"/>
        <v>56.330268505225355</v>
      </c>
      <c r="AR276" s="241">
        <v>0</v>
      </c>
      <c r="AS276" s="240">
        <f t="shared" si="173"/>
        <v>0</v>
      </c>
      <c r="AT276" s="241">
        <v>0</v>
      </c>
      <c r="AU276" s="240">
        <f t="shared" si="174"/>
        <v>0</v>
      </c>
    </row>
    <row r="277" spans="1:47" s="274" customFormat="1" ht="15" x14ac:dyDescent="0.25">
      <c r="A277" s="274" t="str">
        <f t="shared" si="175"/>
        <v>allRecyclingCRY3Y2X</v>
      </c>
      <c r="B277" s="241" t="str">
        <f t="shared" si="176"/>
        <v>VancRecyclingCRY3Y2X</v>
      </c>
      <c r="C277" s="232" t="s">
        <v>466</v>
      </c>
      <c r="D277" s="232" t="s">
        <v>549</v>
      </c>
      <c r="E277" s="238">
        <v>310.39</v>
      </c>
      <c r="F277" s="238">
        <v>325.90999999999991</v>
      </c>
      <c r="G277" s="238">
        <v>325.90999999999991</v>
      </c>
      <c r="I277" s="243">
        <v>8617.5</v>
      </c>
      <c r="J277" s="243">
        <v>6444.77</v>
      </c>
      <c r="K277" s="243">
        <v>7941.579999999999</v>
      </c>
      <c r="L277" s="243">
        <v>9309.9</v>
      </c>
      <c r="M277" s="243">
        <v>9920.99</v>
      </c>
      <c r="N277" s="243">
        <v>9920.99</v>
      </c>
      <c r="O277" s="243">
        <v>10298.75</v>
      </c>
      <c r="P277" s="243">
        <v>10298.75</v>
      </c>
      <c r="Q277" s="243">
        <v>9810.09</v>
      </c>
      <c r="R277" s="243">
        <v>9578.66</v>
      </c>
      <c r="S277" s="243">
        <v>10067.52</v>
      </c>
      <c r="T277" s="243">
        <v>10103.799999999999</v>
      </c>
      <c r="U277" s="263">
        <f t="shared" si="157"/>
        <v>112313.3</v>
      </c>
      <c r="W277" s="264">
        <f t="shared" si="158"/>
        <v>27.763458874319404</v>
      </c>
      <c r="X277" s="264">
        <f t="shared" si="159"/>
        <v>20.763458874319408</v>
      </c>
      <c r="Y277" s="264">
        <f t="shared" si="160"/>
        <v>25.585811398563095</v>
      </c>
      <c r="Z277" s="264">
        <f t="shared" si="161"/>
        <v>28.565861740971439</v>
      </c>
      <c r="AA277" s="264">
        <f t="shared" si="162"/>
        <v>30.440888588874238</v>
      </c>
      <c r="AB277" s="264">
        <f t="shared" si="163"/>
        <v>30.440888588874238</v>
      </c>
      <c r="AC277" s="264">
        <f t="shared" si="164"/>
        <v>31.59998159000952</v>
      </c>
      <c r="AD277" s="264">
        <f t="shared" si="165"/>
        <v>31.59998159000952</v>
      </c>
      <c r="AE277" s="264">
        <f t="shared" si="166"/>
        <v>30.100610598017866</v>
      </c>
      <c r="AF277" s="264">
        <f t="shared" si="167"/>
        <v>29.390506581571607</v>
      </c>
      <c r="AG277" s="264">
        <f t="shared" si="168"/>
        <v>30.890491239912869</v>
      </c>
      <c r="AH277" s="264">
        <f t="shared" si="169"/>
        <v>31.001810315731344</v>
      </c>
      <c r="AI277" s="265">
        <f t="shared" si="177"/>
        <v>29.01197916509788</v>
      </c>
      <c r="AJ277" s="266">
        <f t="shared" si="170"/>
        <v>348.14374998117455</v>
      </c>
      <c r="AK277" s="262"/>
      <c r="AN277" s="241">
        <v>0</v>
      </c>
      <c r="AO277" s="240">
        <f t="shared" si="171"/>
        <v>0</v>
      </c>
      <c r="AP277" s="241">
        <v>1</v>
      </c>
      <c r="AQ277" s="240">
        <f t="shared" si="172"/>
        <v>29.01197916509788</v>
      </c>
      <c r="AR277" s="241">
        <v>0</v>
      </c>
      <c r="AS277" s="240">
        <f t="shared" si="173"/>
        <v>0</v>
      </c>
      <c r="AT277" s="241">
        <v>0</v>
      </c>
      <c r="AU277" s="240">
        <f t="shared" si="174"/>
        <v>0</v>
      </c>
    </row>
    <row r="278" spans="1:47" s="274" customFormat="1" ht="15" x14ac:dyDescent="0.25">
      <c r="A278" s="274" t="str">
        <f t="shared" si="175"/>
        <v>allRecyclingCRY3Y3X</v>
      </c>
      <c r="B278" s="241" t="str">
        <f t="shared" si="176"/>
        <v>VancRecyclingCRY3Y3X</v>
      </c>
      <c r="C278" s="232" t="s">
        <v>467</v>
      </c>
      <c r="D278" s="232" t="s">
        <v>550</v>
      </c>
      <c r="E278" s="238">
        <v>448.98</v>
      </c>
      <c r="F278" s="238">
        <v>471.43</v>
      </c>
      <c r="G278" s="238">
        <v>471.43</v>
      </c>
      <c r="I278" s="243">
        <v>7083.2</v>
      </c>
      <c r="J278" s="243">
        <v>7270.27</v>
      </c>
      <c r="K278" s="243">
        <v>7532.18</v>
      </c>
      <c r="L278" s="243">
        <v>7863.9</v>
      </c>
      <c r="M278" s="243">
        <v>7863.9</v>
      </c>
      <c r="N278" s="243">
        <v>7863.9</v>
      </c>
      <c r="O278" s="243">
        <v>7863.9</v>
      </c>
      <c r="P278" s="243">
        <v>7863.9</v>
      </c>
      <c r="Q278" s="243">
        <v>8060.33</v>
      </c>
      <c r="R278" s="243">
        <v>8299.31</v>
      </c>
      <c r="S278" s="243">
        <v>8417.16</v>
      </c>
      <c r="T278" s="243">
        <v>8474.6200000000008</v>
      </c>
      <c r="U278" s="263">
        <f t="shared" si="157"/>
        <v>94456.57</v>
      </c>
      <c r="W278" s="264">
        <f t="shared" si="158"/>
        <v>15.77620383981469</v>
      </c>
      <c r="X278" s="264">
        <f t="shared" si="159"/>
        <v>16.192859370127845</v>
      </c>
      <c r="Y278" s="264">
        <f t="shared" si="160"/>
        <v>16.776203839814691</v>
      </c>
      <c r="Z278" s="264">
        <f t="shared" si="161"/>
        <v>16.680949451668326</v>
      </c>
      <c r="AA278" s="264">
        <f t="shared" si="162"/>
        <v>16.680949451668326</v>
      </c>
      <c r="AB278" s="264">
        <f t="shared" si="163"/>
        <v>16.680949451668326</v>
      </c>
      <c r="AC278" s="264">
        <f t="shared" si="164"/>
        <v>16.680949451668326</v>
      </c>
      <c r="AD278" s="264">
        <f t="shared" si="165"/>
        <v>16.680949451668326</v>
      </c>
      <c r="AE278" s="264">
        <f t="shared" si="166"/>
        <v>17.097617886006404</v>
      </c>
      <c r="AF278" s="264">
        <f t="shared" si="167"/>
        <v>17.604543622595081</v>
      </c>
      <c r="AG278" s="264">
        <f t="shared" si="168"/>
        <v>17.854527713552383</v>
      </c>
      <c r="AH278" s="264">
        <f t="shared" si="169"/>
        <v>17.976412192690326</v>
      </c>
      <c r="AI278" s="265">
        <f t="shared" si="177"/>
        <v>16.890259643578592</v>
      </c>
      <c r="AJ278" s="266">
        <f t="shared" si="170"/>
        <v>202.68311572294309</v>
      </c>
      <c r="AK278" s="262"/>
      <c r="AN278" s="241">
        <v>0</v>
      </c>
      <c r="AO278" s="240">
        <f t="shared" si="171"/>
        <v>0</v>
      </c>
      <c r="AP278" s="241">
        <v>1</v>
      </c>
      <c r="AQ278" s="240">
        <f t="shared" si="172"/>
        <v>16.890259643578592</v>
      </c>
      <c r="AR278" s="241">
        <v>0</v>
      </c>
      <c r="AS278" s="240">
        <f t="shared" si="173"/>
        <v>0</v>
      </c>
      <c r="AT278" s="241">
        <v>0</v>
      </c>
      <c r="AU278" s="240">
        <f t="shared" si="174"/>
        <v>0</v>
      </c>
    </row>
    <row r="279" spans="1:47" s="274" customFormat="1" ht="15" x14ac:dyDescent="0.25">
      <c r="A279" s="274" t="str">
        <f t="shared" si="175"/>
        <v>allRecyclingCRY3Y4X</v>
      </c>
      <c r="B279" s="241" t="str">
        <f t="shared" si="176"/>
        <v>VancRecyclingCRY3Y4X</v>
      </c>
      <c r="C279" s="232" t="s">
        <v>880</v>
      </c>
      <c r="D279" s="232" t="s">
        <v>892</v>
      </c>
      <c r="E279" s="238">
        <v>587.54</v>
      </c>
      <c r="F279" s="238">
        <v>616.91999999999996</v>
      </c>
      <c r="G279" s="238">
        <v>616.91999999999996</v>
      </c>
      <c r="I279" s="243">
        <v>972.09</v>
      </c>
      <c r="J279" s="243">
        <v>972.09</v>
      </c>
      <c r="K279" s="243">
        <v>972.09</v>
      </c>
      <c r="L279" s="243">
        <v>1020.7</v>
      </c>
      <c r="M279" s="243">
        <v>1020.7</v>
      </c>
      <c r="N279" s="243">
        <v>1020.7</v>
      </c>
      <c r="O279" s="243">
        <v>1020.7</v>
      </c>
      <c r="P279" s="243">
        <v>1020.7</v>
      </c>
      <c r="Q279" s="243">
        <v>1020.7</v>
      </c>
      <c r="R279" s="243">
        <v>1040.8900000000001</v>
      </c>
      <c r="S279" s="243">
        <v>1040.8900000000001</v>
      </c>
      <c r="T279" s="243">
        <v>1040.8900000000001</v>
      </c>
      <c r="U279" s="263">
        <f t="shared" si="157"/>
        <v>12163.139999999998</v>
      </c>
      <c r="W279" s="264">
        <f t="shared" si="158"/>
        <v>1.6545086291997142</v>
      </c>
      <c r="X279" s="264">
        <f t="shared" si="159"/>
        <v>1.6545086291997142</v>
      </c>
      <c r="Y279" s="264">
        <f t="shared" si="160"/>
        <v>1.6545086291997142</v>
      </c>
      <c r="Z279" s="264">
        <f t="shared" si="161"/>
        <v>1.6545094988004929</v>
      </c>
      <c r="AA279" s="264">
        <f t="shared" si="162"/>
        <v>1.6545094988004929</v>
      </c>
      <c r="AB279" s="264">
        <f t="shared" si="163"/>
        <v>1.6545094988004929</v>
      </c>
      <c r="AC279" s="264">
        <f t="shared" si="164"/>
        <v>1.6545094988004929</v>
      </c>
      <c r="AD279" s="264">
        <f t="shared" si="165"/>
        <v>1.6545094988004929</v>
      </c>
      <c r="AE279" s="264">
        <f t="shared" si="166"/>
        <v>1.6545094988004929</v>
      </c>
      <c r="AF279" s="264">
        <f t="shared" si="167"/>
        <v>1.6872365946962331</v>
      </c>
      <c r="AG279" s="264">
        <f t="shared" si="168"/>
        <v>1.6872365946962331</v>
      </c>
      <c r="AH279" s="264">
        <f t="shared" si="169"/>
        <v>1.6872365946962331</v>
      </c>
      <c r="AI279" s="265">
        <f t="shared" si="177"/>
        <v>1.6626910553742336</v>
      </c>
      <c r="AJ279" s="266">
        <f t="shared" si="170"/>
        <v>19.952292664490802</v>
      </c>
      <c r="AK279" s="262"/>
      <c r="AN279" s="241">
        <v>0</v>
      </c>
      <c r="AO279" s="240">
        <f t="shared" si="171"/>
        <v>0</v>
      </c>
      <c r="AP279" s="241">
        <v>1</v>
      </c>
      <c r="AQ279" s="240">
        <f t="shared" si="172"/>
        <v>1.6626910553742336</v>
      </c>
      <c r="AR279" s="241">
        <v>0</v>
      </c>
      <c r="AS279" s="240">
        <f t="shared" si="173"/>
        <v>0</v>
      </c>
      <c r="AT279" s="241">
        <v>0</v>
      </c>
      <c r="AU279" s="240">
        <f t="shared" si="174"/>
        <v>0</v>
      </c>
    </row>
    <row r="280" spans="1:47" s="274" customFormat="1" ht="15" x14ac:dyDescent="0.25">
      <c r="A280" s="274" t="str">
        <f t="shared" si="175"/>
        <v>allRecyclingCRY3Y5X</v>
      </c>
      <c r="B280" s="241" t="str">
        <f>"Vanc"&amp;"Recycling"&amp;C280</f>
        <v>VancRecyclingCRY3Y5X</v>
      </c>
      <c r="C280" s="232" t="s">
        <v>468</v>
      </c>
      <c r="D280" s="232" t="s">
        <v>551</v>
      </c>
      <c r="E280" s="238">
        <v>721.66</v>
      </c>
      <c r="F280" s="238">
        <v>757.7399999999999</v>
      </c>
      <c r="G280" s="238">
        <v>757.7399999999999</v>
      </c>
      <c r="I280" s="243">
        <v>0</v>
      </c>
      <c r="J280" s="243">
        <v>0</v>
      </c>
      <c r="K280" s="243">
        <v>0</v>
      </c>
      <c r="L280" s="243">
        <v>0</v>
      </c>
      <c r="M280" s="243">
        <v>0</v>
      </c>
      <c r="N280" s="243">
        <v>0</v>
      </c>
      <c r="O280" s="243">
        <v>0</v>
      </c>
      <c r="P280" s="243">
        <v>0</v>
      </c>
      <c r="Q280" s="243">
        <v>0</v>
      </c>
      <c r="R280" s="243">
        <v>0</v>
      </c>
      <c r="S280" s="243">
        <v>0</v>
      </c>
      <c r="T280" s="243">
        <v>0</v>
      </c>
      <c r="U280" s="263">
        <f t="shared" si="157"/>
        <v>0</v>
      </c>
      <c r="W280" s="264">
        <f t="shared" si="158"/>
        <v>0</v>
      </c>
      <c r="X280" s="264">
        <f t="shared" si="159"/>
        <v>0</v>
      </c>
      <c r="Y280" s="264">
        <f t="shared" si="160"/>
        <v>0</v>
      </c>
      <c r="Z280" s="264">
        <f t="shared" si="161"/>
        <v>0</v>
      </c>
      <c r="AA280" s="264">
        <f t="shared" si="162"/>
        <v>0</v>
      </c>
      <c r="AB280" s="264">
        <f t="shared" si="163"/>
        <v>0</v>
      </c>
      <c r="AC280" s="264">
        <f t="shared" si="164"/>
        <v>0</v>
      </c>
      <c r="AD280" s="264">
        <f t="shared" si="165"/>
        <v>0</v>
      </c>
      <c r="AE280" s="264">
        <f t="shared" si="166"/>
        <v>0</v>
      </c>
      <c r="AF280" s="264">
        <f t="shared" si="167"/>
        <v>0</v>
      </c>
      <c r="AG280" s="264">
        <f t="shared" si="168"/>
        <v>0</v>
      </c>
      <c r="AH280" s="264">
        <f t="shared" si="169"/>
        <v>0</v>
      </c>
      <c r="AI280" s="265">
        <f t="shared" si="177"/>
        <v>0</v>
      </c>
      <c r="AJ280" s="266">
        <f t="shared" si="170"/>
        <v>0</v>
      </c>
      <c r="AK280" s="262"/>
      <c r="AN280" s="241">
        <v>0</v>
      </c>
      <c r="AO280" s="240">
        <f t="shared" si="171"/>
        <v>0</v>
      </c>
      <c r="AP280" s="241">
        <v>1</v>
      </c>
      <c r="AQ280" s="240">
        <f t="shared" si="172"/>
        <v>0</v>
      </c>
      <c r="AR280" s="241">
        <v>0</v>
      </c>
      <c r="AS280" s="240">
        <f t="shared" si="173"/>
        <v>0</v>
      </c>
      <c r="AT280" s="241">
        <v>0</v>
      </c>
      <c r="AU280" s="240">
        <f t="shared" si="174"/>
        <v>0</v>
      </c>
    </row>
    <row r="281" spans="1:47" s="274" customFormat="1" ht="15" x14ac:dyDescent="0.25">
      <c r="A281" s="274" t="str">
        <f t="shared" si="175"/>
        <v>allRecyclingCRY3YEOW</v>
      </c>
      <c r="B281" s="241" t="str">
        <f t="shared" si="176"/>
        <v>VancRecyclingCRY3YEOW</v>
      </c>
      <c r="C281" s="232" t="s">
        <v>469</v>
      </c>
      <c r="D281" s="232" t="s">
        <v>552</v>
      </c>
      <c r="E281" s="238">
        <v>106</v>
      </c>
      <c r="F281" s="238">
        <v>111.29999999999998</v>
      </c>
      <c r="G281" s="238">
        <v>111.29999999999998</v>
      </c>
      <c r="I281" s="243">
        <v>603.54999999999995</v>
      </c>
      <c r="J281" s="243">
        <v>603.54999999999995</v>
      </c>
      <c r="K281" s="243">
        <v>611.22</v>
      </c>
      <c r="L281" s="243">
        <v>522.80999999999995</v>
      </c>
      <c r="M281" s="243">
        <v>433.32</v>
      </c>
      <c r="N281" s="243">
        <v>440.59</v>
      </c>
      <c r="O281" s="243">
        <v>440.59</v>
      </c>
      <c r="P281" s="243">
        <v>440.59</v>
      </c>
      <c r="Q281" s="243">
        <v>329.29</v>
      </c>
      <c r="R281" s="243">
        <v>329.29</v>
      </c>
      <c r="S281" s="243">
        <v>329.29</v>
      </c>
      <c r="T281" s="243">
        <v>332.85</v>
      </c>
      <c r="U281" s="263">
        <f t="shared" si="157"/>
        <v>5416.9400000000005</v>
      </c>
      <c r="W281" s="264">
        <f t="shared" si="158"/>
        <v>5.693867924528301</v>
      </c>
      <c r="X281" s="264">
        <f t="shared" si="159"/>
        <v>5.693867924528301</v>
      </c>
      <c r="Y281" s="264">
        <f t="shared" si="160"/>
        <v>5.7662264150943399</v>
      </c>
      <c r="Z281" s="264">
        <f t="shared" si="161"/>
        <v>4.6973045822102426</v>
      </c>
      <c r="AA281" s="264">
        <f t="shared" si="162"/>
        <v>3.8932614555256069</v>
      </c>
      <c r="AB281" s="264">
        <f t="shared" si="163"/>
        <v>3.958580413297395</v>
      </c>
      <c r="AC281" s="264">
        <f t="shared" si="164"/>
        <v>3.958580413297395</v>
      </c>
      <c r="AD281" s="264">
        <f t="shared" si="165"/>
        <v>3.958580413297395</v>
      </c>
      <c r="AE281" s="264">
        <f t="shared" si="166"/>
        <v>2.958580413297395</v>
      </c>
      <c r="AF281" s="264">
        <f t="shared" si="167"/>
        <v>2.958580413297395</v>
      </c>
      <c r="AG281" s="264">
        <f t="shared" si="168"/>
        <v>2.958580413297395</v>
      </c>
      <c r="AH281" s="264">
        <f t="shared" si="169"/>
        <v>2.9905660377358498</v>
      </c>
      <c r="AI281" s="265">
        <f t="shared" si="177"/>
        <v>4.1238814016172523</v>
      </c>
      <c r="AJ281" s="266">
        <f t="shared" si="170"/>
        <v>49.486576819407027</v>
      </c>
      <c r="AK281" s="262"/>
      <c r="AN281" s="241">
        <v>0</v>
      </c>
      <c r="AO281" s="240">
        <f t="shared" si="171"/>
        <v>0</v>
      </c>
      <c r="AP281" s="241">
        <v>1</v>
      </c>
      <c r="AQ281" s="240">
        <f t="shared" si="172"/>
        <v>4.1238814016172523</v>
      </c>
      <c r="AR281" s="241">
        <v>0</v>
      </c>
      <c r="AS281" s="240">
        <f t="shared" si="173"/>
        <v>0</v>
      </c>
      <c r="AT281" s="241">
        <v>0</v>
      </c>
      <c r="AU281" s="240">
        <f t="shared" si="174"/>
        <v>0</v>
      </c>
    </row>
    <row r="282" spans="1:47" s="274" customFormat="1" ht="15" x14ac:dyDescent="0.25">
      <c r="A282" s="274" t="str">
        <f>"all"&amp;"Recycling"&amp;C282</f>
        <v>allRecyclingCRY3Y1MO</v>
      </c>
      <c r="B282" s="241" t="str">
        <f>"Vanc"&amp;"Recycling"&amp;C282</f>
        <v>VancRecyclingCRY3Y1MO</v>
      </c>
      <c r="C282" s="232" t="s">
        <v>464</v>
      </c>
      <c r="D282" s="232" t="s">
        <v>547</v>
      </c>
      <c r="E282" s="238">
        <v>59.04</v>
      </c>
      <c r="F282" s="238">
        <v>61.989999999999995</v>
      </c>
      <c r="G282" s="238">
        <v>61.989999999999995</v>
      </c>
      <c r="I282" s="243">
        <v>0</v>
      </c>
      <c r="J282" s="243">
        <v>0</v>
      </c>
      <c r="K282" s="243">
        <v>0</v>
      </c>
      <c r="L282" s="243">
        <v>61.99</v>
      </c>
      <c r="M282" s="243">
        <v>61.99</v>
      </c>
      <c r="N282" s="243">
        <v>61.99</v>
      </c>
      <c r="O282" s="243">
        <v>61.99</v>
      </c>
      <c r="P282" s="243">
        <v>61.99</v>
      </c>
      <c r="Q282" s="243">
        <v>0</v>
      </c>
      <c r="R282" s="243">
        <v>0</v>
      </c>
      <c r="S282" s="243">
        <v>0</v>
      </c>
      <c r="T282" s="243">
        <v>0</v>
      </c>
      <c r="U282" s="263">
        <f>SUM(I282:T282)</f>
        <v>309.95</v>
      </c>
      <c r="W282" s="264">
        <f t="shared" si="158"/>
        <v>0</v>
      </c>
      <c r="X282" s="264">
        <f t="shared" si="159"/>
        <v>0</v>
      </c>
      <c r="Y282" s="264">
        <f t="shared" si="160"/>
        <v>0</v>
      </c>
      <c r="Z282" s="264">
        <f t="shared" si="161"/>
        <v>1.0000000000000002</v>
      </c>
      <c r="AA282" s="264">
        <f t="shared" si="162"/>
        <v>1.0000000000000002</v>
      </c>
      <c r="AB282" s="264">
        <f t="shared" si="163"/>
        <v>1.0000000000000002</v>
      </c>
      <c r="AC282" s="264">
        <f t="shared" si="164"/>
        <v>1.0000000000000002</v>
      </c>
      <c r="AD282" s="264">
        <f t="shared" si="165"/>
        <v>1.0000000000000002</v>
      </c>
      <c r="AE282" s="264">
        <f t="shared" si="166"/>
        <v>0</v>
      </c>
      <c r="AF282" s="264">
        <f t="shared" si="167"/>
        <v>0</v>
      </c>
      <c r="AG282" s="264">
        <f t="shared" si="168"/>
        <v>0</v>
      </c>
      <c r="AH282" s="264">
        <f t="shared" si="169"/>
        <v>0</v>
      </c>
      <c r="AI282" s="265">
        <f>+IFERROR(AVERAGE(W282:AH282),0)</f>
        <v>0.41666666666666674</v>
      </c>
      <c r="AJ282" s="266">
        <f t="shared" si="170"/>
        <v>5.0000000000000009</v>
      </c>
      <c r="AK282" s="262"/>
      <c r="AN282" s="241">
        <v>0</v>
      </c>
      <c r="AO282" s="240">
        <f t="shared" si="171"/>
        <v>0</v>
      </c>
      <c r="AP282" s="241">
        <v>1</v>
      </c>
      <c r="AQ282" s="240">
        <f t="shared" si="172"/>
        <v>0.41666666666666674</v>
      </c>
      <c r="AR282" s="241">
        <v>0</v>
      </c>
      <c r="AS282" s="240">
        <f t="shared" si="173"/>
        <v>0</v>
      </c>
      <c r="AT282" s="241">
        <v>0</v>
      </c>
      <c r="AU282" s="240">
        <f>+$AI282*AT282</f>
        <v>0</v>
      </c>
    </row>
    <row r="283" spans="1:47" s="274" customFormat="1" ht="15" x14ac:dyDescent="0.25">
      <c r="A283" s="274" t="str">
        <f t="shared" si="175"/>
        <v>allRecyclingCRY4Y1MO</v>
      </c>
      <c r="B283" s="241" t="str">
        <f t="shared" si="176"/>
        <v>VancRecyclingCRY4Y1MO</v>
      </c>
      <c r="C283" s="232" t="s">
        <v>881</v>
      </c>
      <c r="D283" s="232" t="s">
        <v>893</v>
      </c>
      <c r="E283" s="238">
        <v>59.04</v>
      </c>
      <c r="F283" s="238">
        <v>61.989999999999995</v>
      </c>
      <c r="G283" s="238">
        <v>61.989999999999995</v>
      </c>
      <c r="I283" s="243">
        <v>51.33</v>
      </c>
      <c r="J283" s="243">
        <v>51.33</v>
      </c>
      <c r="K283" s="243">
        <v>51.33</v>
      </c>
      <c r="L283" s="243">
        <v>53.9</v>
      </c>
      <c r="M283" s="243">
        <v>53.9</v>
      </c>
      <c r="N283" s="243">
        <v>53.9</v>
      </c>
      <c r="O283" s="243">
        <v>53.9</v>
      </c>
      <c r="P283" s="243">
        <v>53.9</v>
      </c>
      <c r="Q283" s="243">
        <v>0</v>
      </c>
      <c r="R283" s="243">
        <v>0</v>
      </c>
      <c r="S283" s="243">
        <v>0</v>
      </c>
      <c r="T283" s="243">
        <v>0</v>
      </c>
      <c r="U283" s="263">
        <f t="shared" si="157"/>
        <v>423.48999999999995</v>
      </c>
      <c r="W283" s="264">
        <f t="shared" si="158"/>
        <v>0.86941056910569103</v>
      </c>
      <c r="X283" s="264">
        <f t="shared" si="159"/>
        <v>0.86941056910569103</v>
      </c>
      <c r="Y283" s="264">
        <f t="shared" si="160"/>
        <v>0.86941056910569103</v>
      </c>
      <c r="Z283" s="264">
        <f t="shared" si="161"/>
        <v>0.86949507985158903</v>
      </c>
      <c r="AA283" s="264">
        <f t="shared" si="162"/>
        <v>0.86949507985158903</v>
      </c>
      <c r="AB283" s="264">
        <f t="shared" si="163"/>
        <v>0.86949507985158903</v>
      </c>
      <c r="AC283" s="264">
        <f t="shared" si="164"/>
        <v>0.86949507985158903</v>
      </c>
      <c r="AD283" s="264">
        <f t="shared" si="165"/>
        <v>0.86949507985158903</v>
      </c>
      <c r="AE283" s="264">
        <f t="shared" si="166"/>
        <v>0</v>
      </c>
      <c r="AF283" s="264">
        <f t="shared" si="167"/>
        <v>0</v>
      </c>
      <c r="AG283" s="264">
        <f t="shared" si="168"/>
        <v>0</v>
      </c>
      <c r="AH283" s="264">
        <f t="shared" si="169"/>
        <v>0</v>
      </c>
      <c r="AI283" s="265">
        <f t="shared" si="177"/>
        <v>0.57964225888125154</v>
      </c>
      <c r="AJ283" s="266">
        <f t="shared" si="170"/>
        <v>6.9557071065750185</v>
      </c>
      <c r="AK283" s="262"/>
      <c r="AN283" s="241">
        <v>0</v>
      </c>
      <c r="AO283" s="240">
        <f t="shared" si="171"/>
        <v>0</v>
      </c>
      <c r="AP283" s="241">
        <v>1</v>
      </c>
      <c r="AQ283" s="240">
        <f t="shared" si="172"/>
        <v>0.57964225888125154</v>
      </c>
      <c r="AR283" s="241">
        <v>0</v>
      </c>
      <c r="AS283" s="240">
        <f t="shared" si="173"/>
        <v>0</v>
      </c>
      <c r="AT283" s="241">
        <v>0</v>
      </c>
      <c r="AU283" s="240">
        <f t="shared" si="174"/>
        <v>0</v>
      </c>
    </row>
    <row r="284" spans="1:47" s="274" customFormat="1" ht="15" x14ac:dyDescent="0.25">
      <c r="A284" s="274" t="str">
        <f t="shared" si="175"/>
        <v>allRecyclingCRY4Y1X</v>
      </c>
      <c r="B284" s="241" t="str">
        <f t="shared" si="176"/>
        <v>VancRecyclingCRY4Y1X</v>
      </c>
      <c r="C284" s="232" t="s">
        <v>470</v>
      </c>
      <c r="D284" s="232" t="s">
        <v>553</v>
      </c>
      <c r="E284" s="238">
        <v>188.52</v>
      </c>
      <c r="F284" s="238">
        <v>197.95000000000002</v>
      </c>
      <c r="G284" s="238">
        <v>197.95000000000002</v>
      </c>
      <c r="I284" s="243">
        <v>21358.51</v>
      </c>
      <c r="J284" s="243">
        <v>21295.03</v>
      </c>
      <c r="K284" s="243">
        <v>21141.13</v>
      </c>
      <c r="L284" s="243">
        <v>22119.66</v>
      </c>
      <c r="M284" s="243">
        <v>22659.52</v>
      </c>
      <c r="N284" s="243">
        <v>21608.07</v>
      </c>
      <c r="O284" s="243">
        <v>22954.47</v>
      </c>
      <c r="P284" s="243">
        <v>22930.81</v>
      </c>
      <c r="Q284" s="243">
        <v>22831.82</v>
      </c>
      <c r="R284" s="243">
        <v>22805.599999999999</v>
      </c>
      <c r="S284" s="243">
        <v>22716.03</v>
      </c>
      <c r="T284" s="243">
        <v>22638.25</v>
      </c>
      <c r="U284" s="263">
        <f t="shared" si="157"/>
        <v>267058.90000000002</v>
      </c>
      <c r="W284" s="264">
        <f t="shared" si="158"/>
        <v>113.29572459155526</v>
      </c>
      <c r="X284" s="264">
        <f t="shared" si="159"/>
        <v>112.95899639295564</v>
      </c>
      <c r="Y284" s="264">
        <f t="shared" si="160"/>
        <v>112.14263738595375</v>
      </c>
      <c r="Z284" s="264">
        <f t="shared" si="161"/>
        <v>111.74367264460722</v>
      </c>
      <c r="AA284" s="264">
        <f t="shared" si="162"/>
        <v>114.47092700176812</v>
      </c>
      <c r="AB284" s="264">
        <f t="shared" si="163"/>
        <v>109.15923212932557</v>
      </c>
      <c r="AC284" s="264">
        <f t="shared" si="164"/>
        <v>115.96094973478151</v>
      </c>
      <c r="AD284" s="264">
        <f t="shared" si="165"/>
        <v>115.84142460217227</v>
      </c>
      <c r="AE284" s="264">
        <f t="shared" si="166"/>
        <v>115.34134882546097</v>
      </c>
      <c r="AF284" s="264">
        <f t="shared" si="167"/>
        <v>115.20889113412476</v>
      </c>
      <c r="AG284" s="264">
        <f t="shared" si="168"/>
        <v>114.75640313210405</v>
      </c>
      <c r="AH284" s="264">
        <f t="shared" si="169"/>
        <v>114.36347562515786</v>
      </c>
      <c r="AI284" s="265">
        <f t="shared" si="177"/>
        <v>113.77030693333057</v>
      </c>
      <c r="AJ284" s="266">
        <f t="shared" si="170"/>
        <v>1365.2436831999669</v>
      </c>
      <c r="AK284" s="262"/>
      <c r="AN284" s="241">
        <v>0</v>
      </c>
      <c r="AO284" s="240">
        <f t="shared" si="171"/>
        <v>0</v>
      </c>
      <c r="AP284" s="241">
        <v>1</v>
      </c>
      <c r="AQ284" s="240">
        <f t="shared" si="172"/>
        <v>113.77030693333057</v>
      </c>
      <c r="AR284" s="241">
        <v>0</v>
      </c>
      <c r="AS284" s="240">
        <f t="shared" si="173"/>
        <v>0</v>
      </c>
      <c r="AT284" s="241">
        <v>0</v>
      </c>
      <c r="AU284" s="240">
        <f t="shared" si="174"/>
        <v>0</v>
      </c>
    </row>
    <row r="285" spans="1:47" s="274" customFormat="1" ht="15" x14ac:dyDescent="0.25">
      <c r="A285" s="274" t="str">
        <f t="shared" si="175"/>
        <v>allRecyclingCRY4Y2X</v>
      </c>
      <c r="B285" s="241" t="str">
        <f t="shared" si="176"/>
        <v>VancRecyclingCRY4Y2X</v>
      </c>
      <c r="C285" s="232" t="s">
        <v>471</v>
      </c>
      <c r="D285" s="232" t="s">
        <v>554</v>
      </c>
      <c r="E285" s="238">
        <v>338.11</v>
      </c>
      <c r="F285" s="238">
        <v>355.02000000000004</v>
      </c>
      <c r="G285" s="238">
        <v>355.02000000000004</v>
      </c>
      <c r="I285" s="243">
        <v>21795.58</v>
      </c>
      <c r="J285" s="243">
        <v>21880.1</v>
      </c>
      <c r="K285" s="243">
        <v>21994.2</v>
      </c>
      <c r="L285" s="243">
        <v>22655.899999999998</v>
      </c>
      <c r="M285" s="243">
        <v>22782.69</v>
      </c>
      <c r="N285" s="243">
        <v>22782.69</v>
      </c>
      <c r="O285" s="243">
        <v>22704.93</v>
      </c>
      <c r="P285" s="243">
        <v>22882.44</v>
      </c>
      <c r="Q285" s="243">
        <v>22971.190000000002</v>
      </c>
      <c r="R285" s="243">
        <v>23265.79</v>
      </c>
      <c r="S285" s="243">
        <v>23370.720000000001</v>
      </c>
      <c r="T285" s="243">
        <v>22753.46</v>
      </c>
      <c r="U285" s="263">
        <f t="shared" si="157"/>
        <v>271839.69</v>
      </c>
      <c r="W285" s="264">
        <f t="shared" si="158"/>
        <v>64.462985418946502</v>
      </c>
      <c r="X285" s="264">
        <f t="shared" si="159"/>
        <v>64.712963236816407</v>
      </c>
      <c r="Y285" s="264">
        <f t="shared" si="160"/>
        <v>65.050427375706136</v>
      </c>
      <c r="Z285" s="264">
        <f t="shared" si="161"/>
        <v>63.815841361050069</v>
      </c>
      <c r="AA285" s="264">
        <f t="shared" si="162"/>
        <v>64.172976170356591</v>
      </c>
      <c r="AB285" s="264">
        <f t="shared" si="163"/>
        <v>64.172976170356591</v>
      </c>
      <c r="AC285" s="264">
        <f t="shared" si="164"/>
        <v>63.953946256548917</v>
      </c>
      <c r="AD285" s="264">
        <f t="shared" si="165"/>
        <v>64.453946256548917</v>
      </c>
      <c r="AE285" s="264">
        <f t="shared" si="166"/>
        <v>64.703932172835337</v>
      </c>
      <c r="AF285" s="264">
        <f t="shared" si="167"/>
        <v>65.533744577770264</v>
      </c>
      <c r="AG285" s="264">
        <f t="shared" si="168"/>
        <v>65.829305391245555</v>
      </c>
      <c r="AH285" s="264">
        <f t="shared" si="169"/>
        <v>64.090642780688398</v>
      </c>
      <c r="AI285" s="265">
        <f t="shared" si="177"/>
        <v>64.579473930739155</v>
      </c>
      <c r="AJ285" s="266">
        <f t="shared" si="170"/>
        <v>774.95368716886981</v>
      </c>
      <c r="AK285" s="262"/>
      <c r="AN285" s="241">
        <v>0</v>
      </c>
      <c r="AO285" s="240">
        <f t="shared" si="171"/>
        <v>0</v>
      </c>
      <c r="AP285" s="241">
        <v>1</v>
      </c>
      <c r="AQ285" s="240">
        <f t="shared" si="172"/>
        <v>64.579473930739155</v>
      </c>
      <c r="AR285" s="241">
        <v>0</v>
      </c>
      <c r="AS285" s="240">
        <f t="shared" si="173"/>
        <v>0</v>
      </c>
      <c r="AT285" s="241">
        <v>0</v>
      </c>
      <c r="AU285" s="240">
        <f t="shared" si="174"/>
        <v>0</v>
      </c>
    </row>
    <row r="286" spans="1:47" s="274" customFormat="1" ht="15" x14ac:dyDescent="0.25">
      <c r="A286" s="274" t="str">
        <f t="shared" si="175"/>
        <v>allRecyclingCRY4Y3X</v>
      </c>
      <c r="B286" s="241" t="str">
        <f t="shared" si="176"/>
        <v>VancRecyclingCRY4Y3X</v>
      </c>
      <c r="C286" s="232" t="s">
        <v>472</v>
      </c>
      <c r="D286" s="232" t="s">
        <v>555</v>
      </c>
      <c r="E286" s="238">
        <v>487.76</v>
      </c>
      <c r="F286" s="238">
        <v>512.15</v>
      </c>
      <c r="G286" s="238">
        <v>512.15</v>
      </c>
      <c r="I286" s="243">
        <v>16080.4</v>
      </c>
      <c r="J286" s="243">
        <v>16080.4</v>
      </c>
      <c r="K286" s="243">
        <v>16080.4</v>
      </c>
      <c r="L286" s="243">
        <v>16708.43</v>
      </c>
      <c r="M286" s="243">
        <v>16708.43</v>
      </c>
      <c r="N286" s="243">
        <v>16708.43</v>
      </c>
      <c r="O286" s="243">
        <v>16801.55</v>
      </c>
      <c r="P286" s="243">
        <v>16708.43</v>
      </c>
      <c r="Q286" s="243">
        <v>16743.36</v>
      </c>
      <c r="R286" s="243">
        <v>17353.189999999999</v>
      </c>
      <c r="S286" s="243">
        <v>16882.669999999998</v>
      </c>
      <c r="T286" s="243">
        <v>17209.29</v>
      </c>
      <c r="U286" s="263">
        <f t="shared" si="157"/>
        <v>200064.98</v>
      </c>
      <c r="W286" s="264">
        <f t="shared" si="158"/>
        <v>32.967853042479909</v>
      </c>
      <c r="X286" s="264">
        <f t="shared" si="159"/>
        <v>32.967853042479909</v>
      </c>
      <c r="Y286" s="264">
        <f t="shared" si="160"/>
        <v>32.967853042479909</v>
      </c>
      <c r="Z286" s="264">
        <f t="shared" si="161"/>
        <v>32.624094503563413</v>
      </c>
      <c r="AA286" s="264">
        <f t="shared" si="162"/>
        <v>32.624094503563413</v>
      </c>
      <c r="AB286" s="264">
        <f t="shared" si="163"/>
        <v>32.624094503563413</v>
      </c>
      <c r="AC286" s="264">
        <f t="shared" si="164"/>
        <v>32.805916235477888</v>
      </c>
      <c r="AD286" s="264">
        <f t="shared" si="165"/>
        <v>32.624094503563413</v>
      </c>
      <c r="AE286" s="264">
        <f t="shared" si="166"/>
        <v>32.69229717856097</v>
      </c>
      <c r="AF286" s="264">
        <f t="shared" si="167"/>
        <v>33.88302255198672</v>
      </c>
      <c r="AG286" s="264">
        <f t="shared" si="168"/>
        <v>32.964307331836373</v>
      </c>
      <c r="AH286" s="264">
        <f t="shared" si="169"/>
        <v>33.602050180611151</v>
      </c>
      <c r="AI286" s="265">
        <f t="shared" si="177"/>
        <v>32.945627551680538</v>
      </c>
      <c r="AJ286" s="266">
        <f t="shared" ref="AJ286:AJ322" si="178">SUM(W286:AH286)</f>
        <v>395.34753062016648</v>
      </c>
      <c r="AK286" s="262"/>
      <c r="AN286" s="241">
        <v>0</v>
      </c>
      <c r="AO286" s="240">
        <f t="shared" si="171"/>
        <v>0</v>
      </c>
      <c r="AP286" s="241">
        <v>1</v>
      </c>
      <c r="AQ286" s="240">
        <f t="shared" si="172"/>
        <v>32.945627551680538</v>
      </c>
      <c r="AR286" s="241">
        <v>0</v>
      </c>
      <c r="AS286" s="240">
        <f t="shared" si="173"/>
        <v>0</v>
      </c>
      <c r="AT286" s="241">
        <v>0</v>
      </c>
      <c r="AU286" s="240">
        <f t="shared" si="174"/>
        <v>0</v>
      </c>
    </row>
    <row r="287" spans="1:47" s="274" customFormat="1" ht="15" x14ac:dyDescent="0.25">
      <c r="A287" s="274" t="str">
        <f t="shared" si="175"/>
        <v>allRecyclingCRY4Y4X</v>
      </c>
      <c r="B287" s="241" t="str">
        <f t="shared" si="176"/>
        <v>VancRecyclingCRY4Y4X</v>
      </c>
      <c r="C287" s="232" t="s">
        <v>882</v>
      </c>
      <c r="D287" s="232" t="s">
        <v>894</v>
      </c>
      <c r="E287" s="238">
        <v>715.01</v>
      </c>
      <c r="F287" s="238">
        <v>750.7600000000001</v>
      </c>
      <c r="G287" s="238">
        <v>750.7600000000001</v>
      </c>
      <c r="I287" s="243">
        <v>3413.36</v>
      </c>
      <c r="J287" s="243">
        <v>3413.36</v>
      </c>
      <c r="K287" s="243">
        <v>3460.39</v>
      </c>
      <c r="L287" s="243">
        <v>4354.1499999999996</v>
      </c>
      <c r="M287" s="243">
        <v>4776.45</v>
      </c>
      <c r="N287" s="243">
        <v>5104.91</v>
      </c>
      <c r="O287" s="243">
        <v>5104.91</v>
      </c>
      <c r="P287" s="243">
        <v>5104.91</v>
      </c>
      <c r="Q287" s="243">
        <v>4917.22</v>
      </c>
      <c r="R287" s="243">
        <v>4354.1499999999996</v>
      </c>
      <c r="S287" s="243">
        <v>4354.1499999999996</v>
      </c>
      <c r="T287" s="243">
        <v>3603.39</v>
      </c>
      <c r="U287" s="263">
        <f t="shared" si="157"/>
        <v>51961.350000000006</v>
      </c>
      <c r="W287" s="264">
        <f t="shared" si="158"/>
        <v>4.7738633026111525</v>
      </c>
      <c r="X287" s="264">
        <f t="shared" si="159"/>
        <v>4.7738633026111525</v>
      </c>
      <c r="Y287" s="264">
        <f t="shared" si="160"/>
        <v>4.8396386064530565</v>
      </c>
      <c r="Z287" s="264">
        <f t="shared" si="161"/>
        <v>5.7996563482337882</v>
      </c>
      <c r="AA287" s="264">
        <f t="shared" si="162"/>
        <v>6.3621530182748138</v>
      </c>
      <c r="AB287" s="264">
        <f t="shared" si="163"/>
        <v>6.7996563482337891</v>
      </c>
      <c r="AC287" s="264">
        <f t="shared" si="164"/>
        <v>6.7996563482337891</v>
      </c>
      <c r="AD287" s="264">
        <f t="shared" si="165"/>
        <v>6.7996563482337891</v>
      </c>
      <c r="AE287" s="264">
        <f t="shared" si="166"/>
        <v>6.5496563482337891</v>
      </c>
      <c r="AF287" s="264">
        <f t="shared" si="167"/>
        <v>5.7996563482337882</v>
      </c>
      <c r="AG287" s="264">
        <f t="shared" si="168"/>
        <v>5.7996563482337882</v>
      </c>
      <c r="AH287" s="264">
        <f t="shared" si="169"/>
        <v>4.7996563482337891</v>
      </c>
      <c r="AI287" s="265">
        <f t="shared" si="177"/>
        <v>5.8247307513183744</v>
      </c>
      <c r="AJ287" s="266">
        <f t="shared" si="178"/>
        <v>69.896769015820496</v>
      </c>
      <c r="AK287" s="262"/>
      <c r="AN287" s="241">
        <v>0</v>
      </c>
      <c r="AO287" s="240">
        <f t="shared" si="171"/>
        <v>0</v>
      </c>
      <c r="AP287" s="241">
        <v>1</v>
      </c>
      <c r="AQ287" s="240">
        <f t="shared" si="172"/>
        <v>5.8247307513183744</v>
      </c>
      <c r="AR287" s="241">
        <v>0</v>
      </c>
      <c r="AS287" s="240">
        <f t="shared" si="173"/>
        <v>0</v>
      </c>
      <c r="AT287" s="241">
        <v>0</v>
      </c>
      <c r="AU287" s="240">
        <f t="shared" si="174"/>
        <v>0</v>
      </c>
    </row>
    <row r="288" spans="1:47" s="274" customFormat="1" ht="15" x14ac:dyDescent="0.25">
      <c r="A288" s="274" t="str">
        <f t="shared" si="175"/>
        <v>allRecyclingCRY4Y5X</v>
      </c>
      <c r="B288" s="241" t="str">
        <f t="shared" si="176"/>
        <v>VancRecyclingCRY4Y5X</v>
      </c>
      <c r="C288" s="232" t="s">
        <v>883</v>
      </c>
      <c r="D288" s="232" t="s">
        <v>895</v>
      </c>
      <c r="E288" s="238">
        <v>787.09</v>
      </c>
      <c r="F288" s="238">
        <v>826.44000000000028</v>
      </c>
      <c r="G288" s="238">
        <v>826.44000000000028</v>
      </c>
      <c r="I288" s="243">
        <v>6549.68</v>
      </c>
      <c r="J288" s="243">
        <v>6864.51</v>
      </c>
      <c r="K288" s="243">
        <v>7336.77</v>
      </c>
      <c r="L288" s="243">
        <v>7637.68</v>
      </c>
      <c r="M288" s="243">
        <v>7637.68</v>
      </c>
      <c r="N288" s="243">
        <v>7637.68</v>
      </c>
      <c r="O288" s="243">
        <v>7637.68</v>
      </c>
      <c r="P288" s="243">
        <v>7637.68</v>
      </c>
      <c r="Q288" s="243">
        <v>7844.29</v>
      </c>
      <c r="R288" s="243">
        <v>7686.49</v>
      </c>
      <c r="S288" s="243">
        <v>7686.49</v>
      </c>
      <c r="T288" s="243">
        <v>7686.49</v>
      </c>
      <c r="U288" s="263">
        <f t="shared" si="157"/>
        <v>89843.12000000001</v>
      </c>
      <c r="W288" s="264">
        <f t="shared" si="158"/>
        <v>8.3213863725876323</v>
      </c>
      <c r="X288" s="264">
        <f t="shared" si="159"/>
        <v>8.7213787495712047</v>
      </c>
      <c r="Y288" s="264">
        <f t="shared" si="160"/>
        <v>9.3213863725876323</v>
      </c>
      <c r="Z288" s="264">
        <f t="shared" si="161"/>
        <v>9.2416630366390748</v>
      </c>
      <c r="AA288" s="264">
        <f t="shared" si="162"/>
        <v>9.2416630366390748</v>
      </c>
      <c r="AB288" s="264">
        <f t="shared" si="163"/>
        <v>9.2416630366390748</v>
      </c>
      <c r="AC288" s="264">
        <f t="shared" si="164"/>
        <v>9.2416630366390748</v>
      </c>
      <c r="AD288" s="264">
        <f t="shared" si="165"/>
        <v>9.2416630366390748</v>
      </c>
      <c r="AE288" s="264">
        <f t="shared" si="166"/>
        <v>9.4916630366390748</v>
      </c>
      <c r="AF288" s="264">
        <f t="shared" si="167"/>
        <v>9.3007235854992469</v>
      </c>
      <c r="AG288" s="264">
        <f t="shared" si="168"/>
        <v>9.3007235854992469</v>
      </c>
      <c r="AH288" s="264">
        <f t="shared" si="169"/>
        <v>9.3007235854992469</v>
      </c>
      <c r="AI288" s="265">
        <f t="shared" si="177"/>
        <v>9.1638583725898872</v>
      </c>
      <c r="AJ288" s="266">
        <f t="shared" si="178"/>
        <v>109.96630047107865</v>
      </c>
      <c r="AK288" s="262"/>
      <c r="AN288" s="241">
        <v>0</v>
      </c>
      <c r="AO288" s="240">
        <f t="shared" si="171"/>
        <v>0</v>
      </c>
      <c r="AP288" s="241">
        <v>1</v>
      </c>
      <c r="AQ288" s="240">
        <f t="shared" si="172"/>
        <v>9.1638583725898872</v>
      </c>
      <c r="AR288" s="241">
        <v>0</v>
      </c>
      <c r="AS288" s="240">
        <f t="shared" si="173"/>
        <v>0</v>
      </c>
      <c r="AT288" s="241">
        <v>0</v>
      </c>
      <c r="AU288" s="240">
        <f t="shared" si="174"/>
        <v>0</v>
      </c>
    </row>
    <row r="289" spans="1:47" s="274" customFormat="1" ht="15" x14ac:dyDescent="0.25">
      <c r="A289" s="274" t="str">
        <f t="shared" si="175"/>
        <v>allRecyclingCRY4YEOW</v>
      </c>
      <c r="B289" s="241" t="str">
        <f t="shared" si="176"/>
        <v>VancRecyclingCRY4YEOW</v>
      </c>
      <c r="C289" s="232" t="s">
        <v>473</v>
      </c>
      <c r="D289" s="232" t="s">
        <v>556</v>
      </c>
      <c r="E289" s="238">
        <v>117.47</v>
      </c>
      <c r="F289" s="238">
        <v>123.34000000000002</v>
      </c>
      <c r="G289" s="238">
        <v>123.34000000000002</v>
      </c>
      <c r="I289" s="243">
        <v>1937.41</v>
      </c>
      <c r="J289" s="243">
        <v>1819.94</v>
      </c>
      <c r="K289" s="243">
        <v>1819.94</v>
      </c>
      <c r="L289" s="243">
        <v>1906.49</v>
      </c>
      <c r="M289" s="243">
        <v>1968.16</v>
      </c>
      <c r="N289" s="243">
        <v>1536.47</v>
      </c>
      <c r="O289" s="243">
        <v>1906.49</v>
      </c>
      <c r="P289" s="243">
        <v>1906.49</v>
      </c>
      <c r="Q289" s="243">
        <v>2029.83</v>
      </c>
      <c r="R289" s="243">
        <v>2029.83</v>
      </c>
      <c r="S289" s="243">
        <v>2029.83</v>
      </c>
      <c r="T289" s="243">
        <v>2029.83</v>
      </c>
      <c r="U289" s="263">
        <f t="shared" si="157"/>
        <v>22920.710000000006</v>
      </c>
      <c r="W289" s="264">
        <f t="shared" si="158"/>
        <v>16.492806674044438</v>
      </c>
      <c r="X289" s="264">
        <f t="shared" si="159"/>
        <v>15.492806674044438</v>
      </c>
      <c r="Y289" s="264">
        <f t="shared" si="160"/>
        <v>15.492806674044438</v>
      </c>
      <c r="Z289" s="264">
        <f t="shared" si="161"/>
        <v>15.457191503161988</v>
      </c>
      <c r="AA289" s="264">
        <f t="shared" si="162"/>
        <v>15.95719150316199</v>
      </c>
      <c r="AB289" s="264">
        <f t="shared" si="163"/>
        <v>12.45719150316199</v>
      </c>
      <c r="AC289" s="264">
        <f t="shared" si="164"/>
        <v>15.457191503161988</v>
      </c>
      <c r="AD289" s="264">
        <f t="shared" si="165"/>
        <v>15.457191503161988</v>
      </c>
      <c r="AE289" s="264">
        <f t="shared" si="166"/>
        <v>16.457191503161987</v>
      </c>
      <c r="AF289" s="264">
        <f t="shared" si="167"/>
        <v>16.457191503161987</v>
      </c>
      <c r="AG289" s="264">
        <f t="shared" si="168"/>
        <v>16.457191503161987</v>
      </c>
      <c r="AH289" s="264">
        <f t="shared" si="169"/>
        <v>16.457191503161987</v>
      </c>
      <c r="AI289" s="265">
        <f t="shared" si="177"/>
        <v>15.674428629215937</v>
      </c>
      <c r="AJ289" s="266">
        <f t="shared" si="178"/>
        <v>188.09314355059124</v>
      </c>
      <c r="AK289" s="262"/>
      <c r="AN289" s="241">
        <v>0</v>
      </c>
      <c r="AO289" s="240">
        <f t="shared" si="171"/>
        <v>0</v>
      </c>
      <c r="AP289" s="241">
        <v>1</v>
      </c>
      <c r="AQ289" s="240">
        <f t="shared" si="172"/>
        <v>15.674428629215937</v>
      </c>
      <c r="AR289" s="241">
        <v>0</v>
      </c>
      <c r="AS289" s="240">
        <f t="shared" si="173"/>
        <v>0</v>
      </c>
      <c r="AT289" s="241">
        <v>0</v>
      </c>
      <c r="AU289" s="240">
        <f t="shared" si="174"/>
        <v>0</v>
      </c>
    </row>
    <row r="290" spans="1:47" s="274" customFormat="1" ht="15" x14ac:dyDescent="0.25">
      <c r="A290" s="274" t="str">
        <f t="shared" si="175"/>
        <v>allRecyclingCRY5Y1X</v>
      </c>
      <c r="B290" s="241" t="str">
        <f t="shared" si="176"/>
        <v>VancRecyclingCRY5Y1X</v>
      </c>
      <c r="C290" s="232" t="s">
        <v>476</v>
      </c>
      <c r="D290" s="232" t="s">
        <v>559</v>
      </c>
      <c r="E290" s="238">
        <v>202.3</v>
      </c>
      <c r="F290" s="238">
        <v>212.42000000000004</v>
      </c>
      <c r="G290" s="238">
        <v>212.42000000000004</v>
      </c>
      <c r="I290" s="243">
        <v>172.93</v>
      </c>
      <c r="J290" s="243">
        <v>172.93</v>
      </c>
      <c r="K290" s="243">
        <v>172.93</v>
      </c>
      <c r="L290" s="243">
        <v>172.93</v>
      </c>
      <c r="M290" s="243">
        <v>172.93</v>
      </c>
      <c r="N290" s="243">
        <v>172.93</v>
      </c>
      <c r="O290" s="243">
        <v>43.23</v>
      </c>
      <c r="P290" s="243">
        <v>0</v>
      </c>
      <c r="Q290" s="243">
        <v>0</v>
      </c>
      <c r="R290" s="243">
        <v>0</v>
      </c>
      <c r="S290" s="243">
        <v>0</v>
      </c>
      <c r="T290" s="243">
        <v>0</v>
      </c>
      <c r="U290" s="263">
        <f t="shared" si="157"/>
        <v>1080.8100000000002</v>
      </c>
      <c r="W290" s="264">
        <f t="shared" si="158"/>
        <v>0.85481957488877902</v>
      </c>
      <c r="X290" s="264">
        <f t="shared" si="159"/>
        <v>0.85481957488877902</v>
      </c>
      <c r="Y290" s="264">
        <f t="shared" si="160"/>
        <v>0.85481957488877902</v>
      </c>
      <c r="Z290" s="264">
        <f t="shared" si="161"/>
        <v>0.81409471801148658</v>
      </c>
      <c r="AA290" s="264">
        <f t="shared" si="162"/>
        <v>0.81409471801148658</v>
      </c>
      <c r="AB290" s="264">
        <f t="shared" si="163"/>
        <v>0.81409471801148658</v>
      </c>
      <c r="AC290" s="264">
        <f t="shared" si="164"/>
        <v>0.20351191036625546</v>
      </c>
      <c r="AD290" s="264">
        <f t="shared" si="165"/>
        <v>0</v>
      </c>
      <c r="AE290" s="264">
        <f t="shared" si="166"/>
        <v>0</v>
      </c>
      <c r="AF290" s="264">
        <f t="shared" si="167"/>
        <v>0</v>
      </c>
      <c r="AG290" s="264">
        <f t="shared" si="168"/>
        <v>0</v>
      </c>
      <c r="AH290" s="264">
        <f t="shared" si="169"/>
        <v>0</v>
      </c>
      <c r="AI290" s="265">
        <f t="shared" si="177"/>
        <v>0.43418789908892097</v>
      </c>
      <c r="AJ290" s="266">
        <f t="shared" si="178"/>
        <v>5.2102547890670516</v>
      </c>
      <c r="AK290" s="262"/>
      <c r="AN290" s="241">
        <v>0</v>
      </c>
      <c r="AO290" s="240">
        <f t="shared" si="171"/>
        <v>0</v>
      </c>
      <c r="AP290" s="241">
        <v>1</v>
      </c>
      <c r="AQ290" s="240">
        <f t="shared" si="172"/>
        <v>0.43418789908892097</v>
      </c>
      <c r="AR290" s="241">
        <v>0</v>
      </c>
      <c r="AS290" s="240">
        <f t="shared" si="173"/>
        <v>0</v>
      </c>
      <c r="AT290" s="241">
        <v>0</v>
      </c>
      <c r="AU290" s="240">
        <f t="shared" si="174"/>
        <v>0</v>
      </c>
    </row>
    <row r="291" spans="1:47" s="274" customFormat="1" ht="15" x14ac:dyDescent="0.25">
      <c r="A291" s="274" t="str">
        <f t="shared" si="175"/>
        <v>allRecyclingCRY5Y2X</v>
      </c>
      <c r="B291" s="241" t="str">
        <f t="shared" si="176"/>
        <v>VancRecyclingCRY5Y2X</v>
      </c>
      <c r="C291" s="232" t="s">
        <v>477</v>
      </c>
      <c r="D291" s="232" t="s">
        <v>560</v>
      </c>
      <c r="E291" s="238">
        <v>365.81</v>
      </c>
      <c r="F291" s="238">
        <v>384.09999999999997</v>
      </c>
      <c r="G291" s="238">
        <v>384.09999999999997</v>
      </c>
      <c r="I291" s="243">
        <v>665.1</v>
      </c>
      <c r="J291" s="243">
        <v>665.1</v>
      </c>
      <c r="K291" s="243">
        <v>665.1</v>
      </c>
      <c r="L291" s="243">
        <v>681.73</v>
      </c>
      <c r="M291" s="243">
        <v>681.73</v>
      </c>
      <c r="N291" s="243">
        <v>681.73</v>
      </c>
      <c r="O291" s="243">
        <v>681.73</v>
      </c>
      <c r="P291" s="243">
        <v>681.73</v>
      </c>
      <c r="Q291" s="243">
        <v>681.73</v>
      </c>
      <c r="R291" s="243">
        <v>689.71</v>
      </c>
      <c r="S291" s="243">
        <v>689.71</v>
      </c>
      <c r="T291" s="243">
        <v>689.71</v>
      </c>
      <c r="U291" s="263">
        <f t="shared" si="157"/>
        <v>8154.81</v>
      </c>
      <c r="W291" s="264">
        <f t="shared" si="158"/>
        <v>1.8181569667313633</v>
      </c>
      <c r="X291" s="264">
        <f t="shared" si="159"/>
        <v>1.8181569667313633</v>
      </c>
      <c r="Y291" s="264">
        <f t="shared" si="160"/>
        <v>1.8181569667313633</v>
      </c>
      <c r="Z291" s="264">
        <f t="shared" si="161"/>
        <v>1.7748763342879461</v>
      </c>
      <c r="AA291" s="264">
        <f t="shared" si="162"/>
        <v>1.7748763342879461</v>
      </c>
      <c r="AB291" s="264">
        <f t="shared" si="163"/>
        <v>1.7748763342879461</v>
      </c>
      <c r="AC291" s="264">
        <f t="shared" si="164"/>
        <v>1.7748763342879461</v>
      </c>
      <c r="AD291" s="264">
        <f t="shared" si="165"/>
        <v>1.7748763342879461</v>
      </c>
      <c r="AE291" s="264">
        <f t="shared" si="166"/>
        <v>1.7748763342879461</v>
      </c>
      <c r="AF291" s="264">
        <f t="shared" si="167"/>
        <v>1.7956521739130438</v>
      </c>
      <c r="AG291" s="264">
        <f t="shared" si="168"/>
        <v>1.7956521739130438</v>
      </c>
      <c r="AH291" s="264">
        <f t="shared" si="169"/>
        <v>1.7956521739130438</v>
      </c>
      <c r="AI291" s="265">
        <f t="shared" si="177"/>
        <v>1.790890452305075</v>
      </c>
      <c r="AJ291" s="266">
        <f t="shared" si="178"/>
        <v>21.4906854276609</v>
      </c>
      <c r="AK291" s="262"/>
      <c r="AN291" s="241">
        <v>0</v>
      </c>
      <c r="AO291" s="240">
        <f t="shared" si="171"/>
        <v>0</v>
      </c>
      <c r="AP291" s="241">
        <v>1</v>
      </c>
      <c r="AQ291" s="240">
        <f t="shared" si="172"/>
        <v>1.790890452305075</v>
      </c>
      <c r="AR291" s="241">
        <v>0</v>
      </c>
      <c r="AS291" s="240">
        <f t="shared" si="173"/>
        <v>0</v>
      </c>
      <c r="AT291" s="241">
        <v>0</v>
      </c>
      <c r="AU291" s="240">
        <f t="shared" si="174"/>
        <v>0</v>
      </c>
    </row>
    <row r="292" spans="1:47" s="274" customFormat="1" ht="15" x14ac:dyDescent="0.25">
      <c r="A292" s="274" t="str">
        <f t="shared" si="175"/>
        <v>allRecyclingCRY5Y3X</v>
      </c>
      <c r="B292" s="241" t="str">
        <f t="shared" si="176"/>
        <v>VancRecyclingCRY5Y3X</v>
      </c>
      <c r="C292" s="232" t="s">
        <v>478</v>
      </c>
      <c r="D292" s="232" t="s">
        <v>561</v>
      </c>
      <c r="E292" s="238">
        <v>523.78</v>
      </c>
      <c r="F292" s="238">
        <v>549.97000000000014</v>
      </c>
      <c r="G292" s="238">
        <v>549.97000000000014</v>
      </c>
      <c r="I292" s="243">
        <v>909.03</v>
      </c>
      <c r="J292" s="243">
        <v>909.03</v>
      </c>
      <c r="K292" s="243">
        <v>909.03</v>
      </c>
      <c r="L292" s="243">
        <v>954.48</v>
      </c>
      <c r="M292" s="243">
        <v>954.48</v>
      </c>
      <c r="N292" s="243">
        <v>954.48</v>
      </c>
      <c r="O292" s="243">
        <v>1504.45</v>
      </c>
      <c r="P292" s="243">
        <v>1504.45</v>
      </c>
      <c r="Q292" s="243">
        <v>1504.45</v>
      </c>
      <c r="R292" s="243">
        <v>1504.45</v>
      </c>
      <c r="S292" s="243">
        <v>1504.45</v>
      </c>
      <c r="T292" s="243">
        <v>1504.45</v>
      </c>
      <c r="U292" s="263">
        <f t="shared" si="157"/>
        <v>14617.230000000003</v>
      </c>
      <c r="W292" s="264">
        <f t="shared" si="158"/>
        <v>1.7355187292374661</v>
      </c>
      <c r="X292" s="264">
        <f t="shared" si="159"/>
        <v>1.7355187292374661</v>
      </c>
      <c r="Y292" s="264">
        <f t="shared" si="160"/>
        <v>1.7355187292374661</v>
      </c>
      <c r="Z292" s="264">
        <f t="shared" si="161"/>
        <v>1.7355128461552445</v>
      </c>
      <c r="AA292" s="264">
        <f t="shared" si="162"/>
        <v>1.7355128461552445</v>
      </c>
      <c r="AB292" s="264">
        <f t="shared" si="163"/>
        <v>1.7355128461552445</v>
      </c>
      <c r="AC292" s="264">
        <f t="shared" si="164"/>
        <v>2.735512846155244</v>
      </c>
      <c r="AD292" s="264">
        <f t="shared" si="165"/>
        <v>2.735512846155244</v>
      </c>
      <c r="AE292" s="264">
        <f t="shared" si="166"/>
        <v>2.735512846155244</v>
      </c>
      <c r="AF292" s="264">
        <f t="shared" si="167"/>
        <v>2.735512846155244</v>
      </c>
      <c r="AG292" s="264">
        <f t="shared" si="168"/>
        <v>2.735512846155244</v>
      </c>
      <c r="AH292" s="264">
        <f t="shared" si="169"/>
        <v>2.735512846155244</v>
      </c>
      <c r="AI292" s="265">
        <f t="shared" si="177"/>
        <v>2.2355143169258</v>
      </c>
      <c r="AJ292" s="266">
        <f t="shared" si="178"/>
        <v>26.826171803109602</v>
      </c>
      <c r="AK292" s="262"/>
      <c r="AN292" s="241">
        <v>0</v>
      </c>
      <c r="AO292" s="240">
        <f t="shared" ref="AO292:AO321" si="179">+$AI292*AN292</f>
        <v>0</v>
      </c>
      <c r="AP292" s="241">
        <v>1</v>
      </c>
      <c r="AQ292" s="240">
        <f t="shared" ref="AQ292:AQ321" si="180">+$AI292*AP292</f>
        <v>2.2355143169258</v>
      </c>
      <c r="AR292" s="241">
        <v>0</v>
      </c>
      <c r="AS292" s="240">
        <f t="shared" ref="AS292:AS321" si="181">+$AI292*AR292</f>
        <v>0</v>
      </c>
      <c r="AT292" s="241">
        <v>0</v>
      </c>
      <c r="AU292" s="240">
        <f t="shared" si="174"/>
        <v>0</v>
      </c>
    </row>
    <row r="293" spans="1:47" s="274" customFormat="1" ht="15" x14ac:dyDescent="0.25">
      <c r="A293" s="274" t="str">
        <f t="shared" si="175"/>
        <v>allRecyclingCRY5YEOW</v>
      </c>
      <c r="B293" s="241" t="str">
        <f t="shared" si="176"/>
        <v>VancRecyclingCRY5YEOW</v>
      </c>
      <c r="C293" s="232" t="s">
        <v>649</v>
      </c>
      <c r="D293" s="232" t="s">
        <v>653</v>
      </c>
      <c r="E293" s="238">
        <v>126.05</v>
      </c>
      <c r="F293" s="238">
        <v>132.35</v>
      </c>
      <c r="G293" s="238">
        <v>132.35</v>
      </c>
      <c r="I293" s="243">
        <v>197.78</v>
      </c>
      <c r="J293" s="243">
        <v>197.78</v>
      </c>
      <c r="K293" s="243">
        <v>197.78</v>
      </c>
      <c r="L293" s="243">
        <v>207.67</v>
      </c>
      <c r="M293" s="243">
        <v>207.67</v>
      </c>
      <c r="N293" s="243">
        <v>207.67</v>
      </c>
      <c r="O293" s="243">
        <v>207.67</v>
      </c>
      <c r="P293" s="243">
        <v>207.67</v>
      </c>
      <c r="Q293" s="243">
        <v>207.67</v>
      </c>
      <c r="R293" s="243">
        <v>207.67</v>
      </c>
      <c r="S293" s="243">
        <v>207.67</v>
      </c>
      <c r="T293" s="243">
        <v>207.67</v>
      </c>
      <c r="U293" s="263">
        <f t="shared" si="157"/>
        <v>2462.3700000000003</v>
      </c>
      <c r="W293" s="264">
        <f t="shared" si="158"/>
        <v>1.569059896866323</v>
      </c>
      <c r="X293" s="264">
        <f t="shared" si="159"/>
        <v>1.569059896866323</v>
      </c>
      <c r="Y293" s="264">
        <f t="shared" si="160"/>
        <v>1.569059896866323</v>
      </c>
      <c r="Z293" s="264">
        <f t="shared" si="161"/>
        <v>1.5690970910464677</v>
      </c>
      <c r="AA293" s="264">
        <f t="shared" si="162"/>
        <v>1.5690970910464677</v>
      </c>
      <c r="AB293" s="264">
        <f t="shared" si="163"/>
        <v>1.5690970910464677</v>
      </c>
      <c r="AC293" s="264">
        <f t="shared" si="164"/>
        <v>1.5690970910464677</v>
      </c>
      <c r="AD293" s="264">
        <f t="shared" si="165"/>
        <v>1.5690970910464677</v>
      </c>
      <c r="AE293" s="264">
        <f t="shared" si="166"/>
        <v>1.5690970910464677</v>
      </c>
      <c r="AF293" s="264">
        <f t="shared" si="167"/>
        <v>1.5690970910464677</v>
      </c>
      <c r="AG293" s="264">
        <f t="shared" si="168"/>
        <v>1.5690970910464677</v>
      </c>
      <c r="AH293" s="264">
        <f t="shared" si="169"/>
        <v>1.5690970910464677</v>
      </c>
      <c r="AI293" s="265">
        <f t="shared" si="177"/>
        <v>1.5690877925014315</v>
      </c>
      <c r="AJ293" s="266">
        <f t="shared" si="178"/>
        <v>18.829053510017179</v>
      </c>
      <c r="AK293" s="262"/>
      <c r="AN293" s="241">
        <v>0</v>
      </c>
      <c r="AO293" s="240">
        <f t="shared" si="179"/>
        <v>0</v>
      </c>
      <c r="AP293" s="241">
        <v>1</v>
      </c>
      <c r="AQ293" s="240">
        <f t="shared" si="180"/>
        <v>1.5690877925014315</v>
      </c>
      <c r="AR293" s="241">
        <v>0</v>
      </c>
      <c r="AS293" s="240">
        <f t="shared" si="181"/>
        <v>0</v>
      </c>
      <c r="AT293" s="241">
        <v>0</v>
      </c>
      <c r="AU293" s="240">
        <f t="shared" si="174"/>
        <v>0</v>
      </c>
    </row>
    <row r="294" spans="1:47" s="274" customFormat="1" ht="15" x14ac:dyDescent="0.25">
      <c r="A294" s="274" t="str">
        <f t="shared" si="175"/>
        <v>allRecyclingCRY6Y1X</v>
      </c>
      <c r="B294" s="241" t="str">
        <f t="shared" si="176"/>
        <v>VancRecyclingCRY6Y1X</v>
      </c>
      <c r="C294" s="232" t="s">
        <v>479</v>
      </c>
      <c r="D294" s="232" t="s">
        <v>562</v>
      </c>
      <c r="E294" s="238">
        <v>216.17</v>
      </c>
      <c r="F294" s="238">
        <v>226.98</v>
      </c>
      <c r="G294" s="238">
        <v>226.98</v>
      </c>
      <c r="I294" s="243">
        <v>6312.3</v>
      </c>
      <c r="J294" s="243">
        <v>6312.3</v>
      </c>
      <c r="K294" s="243">
        <v>6432.74</v>
      </c>
      <c r="L294" s="243">
        <v>7040.1</v>
      </c>
      <c r="M294" s="243">
        <v>7040.1</v>
      </c>
      <c r="N294" s="243">
        <v>7040.1</v>
      </c>
      <c r="O294" s="243">
        <v>7267.08</v>
      </c>
      <c r="P294" s="243">
        <v>7096.85</v>
      </c>
      <c r="Q294" s="243">
        <v>6636.91</v>
      </c>
      <c r="R294" s="243">
        <v>6589.33</v>
      </c>
      <c r="S294" s="243">
        <v>6702.81</v>
      </c>
      <c r="T294" s="243">
        <v>6646.07</v>
      </c>
      <c r="U294" s="263">
        <f t="shared" si="157"/>
        <v>81116.69</v>
      </c>
      <c r="W294" s="264">
        <f t="shared" si="158"/>
        <v>29.200629134477499</v>
      </c>
      <c r="X294" s="264">
        <f t="shared" si="159"/>
        <v>29.200629134477499</v>
      </c>
      <c r="Y294" s="264">
        <f t="shared" si="160"/>
        <v>29.757783226164594</v>
      </c>
      <c r="Z294" s="264">
        <f t="shared" si="161"/>
        <v>31.016389109172618</v>
      </c>
      <c r="AA294" s="264">
        <f t="shared" si="162"/>
        <v>31.016389109172618</v>
      </c>
      <c r="AB294" s="264">
        <f t="shared" si="163"/>
        <v>31.016389109172618</v>
      </c>
      <c r="AC294" s="264">
        <f t="shared" si="164"/>
        <v>32.016389109172614</v>
      </c>
      <c r="AD294" s="264">
        <f t="shared" si="165"/>
        <v>31.266411137545163</v>
      </c>
      <c r="AE294" s="264">
        <f t="shared" si="166"/>
        <v>29.240065203982731</v>
      </c>
      <c r="AF294" s="264">
        <f t="shared" si="167"/>
        <v>29.030443210855584</v>
      </c>
      <c r="AG294" s="264">
        <f t="shared" si="168"/>
        <v>29.530399154110498</v>
      </c>
      <c r="AH294" s="264">
        <f t="shared" si="169"/>
        <v>29.280421182483039</v>
      </c>
      <c r="AI294" s="265">
        <f t="shared" si="177"/>
        <v>30.131028151732263</v>
      </c>
      <c r="AJ294" s="266">
        <f t="shared" si="178"/>
        <v>361.57233782078714</v>
      </c>
      <c r="AK294" s="262"/>
      <c r="AN294" s="241">
        <v>0</v>
      </c>
      <c r="AO294" s="240">
        <f t="shared" si="179"/>
        <v>0</v>
      </c>
      <c r="AP294" s="241">
        <v>1</v>
      </c>
      <c r="AQ294" s="240">
        <f t="shared" si="180"/>
        <v>30.131028151732263</v>
      </c>
      <c r="AR294" s="241">
        <v>0</v>
      </c>
      <c r="AS294" s="240">
        <f t="shared" si="181"/>
        <v>0</v>
      </c>
      <c r="AT294" s="241">
        <v>0</v>
      </c>
      <c r="AU294" s="240">
        <f t="shared" si="174"/>
        <v>0</v>
      </c>
    </row>
    <row r="295" spans="1:47" s="274" customFormat="1" ht="15" x14ac:dyDescent="0.25">
      <c r="A295" s="274" t="str">
        <f t="shared" si="175"/>
        <v>allRecyclingCRY6Y2X</v>
      </c>
      <c r="B295" s="241" t="str">
        <f t="shared" si="176"/>
        <v>VancRecyclingCRY6Y2X</v>
      </c>
      <c r="C295" s="232" t="s">
        <v>480</v>
      </c>
      <c r="D295" s="232" t="s">
        <v>563</v>
      </c>
      <c r="E295" s="238">
        <v>390.75</v>
      </c>
      <c r="F295" s="238">
        <v>410.29</v>
      </c>
      <c r="G295" s="238">
        <v>410.29</v>
      </c>
      <c r="I295" s="243">
        <v>7552.51</v>
      </c>
      <c r="J295" s="243">
        <v>7552.51</v>
      </c>
      <c r="K295" s="243">
        <v>7645.26</v>
      </c>
      <c r="L295" s="243">
        <v>7932.9</v>
      </c>
      <c r="M295" s="243">
        <v>7932.9</v>
      </c>
      <c r="N295" s="243">
        <v>7932.9</v>
      </c>
      <c r="O295" s="243">
        <v>8355.89</v>
      </c>
      <c r="P295" s="243">
        <v>8663.61</v>
      </c>
      <c r="Q295" s="243">
        <v>8766.18</v>
      </c>
      <c r="R295" s="243">
        <v>8775.56</v>
      </c>
      <c r="S295" s="243">
        <v>9134.56</v>
      </c>
      <c r="T295" s="243">
        <v>9185.85</v>
      </c>
      <c r="U295" s="263">
        <f t="shared" si="157"/>
        <v>99430.63</v>
      </c>
      <c r="W295" s="264">
        <f t="shared" si="158"/>
        <v>19.328240563019833</v>
      </c>
      <c r="X295" s="264">
        <f t="shared" si="159"/>
        <v>19.328240563019833</v>
      </c>
      <c r="Y295" s="264">
        <f t="shared" si="160"/>
        <v>19.565604606525913</v>
      </c>
      <c r="Z295" s="264">
        <f t="shared" si="161"/>
        <v>19.334860708279507</v>
      </c>
      <c r="AA295" s="264">
        <f t="shared" si="162"/>
        <v>19.334860708279507</v>
      </c>
      <c r="AB295" s="264">
        <f t="shared" si="163"/>
        <v>19.334860708279507</v>
      </c>
      <c r="AC295" s="264">
        <f t="shared" si="164"/>
        <v>20.365814423944038</v>
      </c>
      <c r="AD295" s="264">
        <f t="shared" si="165"/>
        <v>21.115820517195154</v>
      </c>
      <c r="AE295" s="264">
        <f t="shared" si="166"/>
        <v>21.365814423944038</v>
      </c>
      <c r="AF295" s="264">
        <f t="shared" si="167"/>
        <v>21.388676302127759</v>
      </c>
      <c r="AG295" s="264">
        <f t="shared" si="168"/>
        <v>22.263667162251089</v>
      </c>
      <c r="AH295" s="264">
        <f t="shared" si="169"/>
        <v>22.388676302127763</v>
      </c>
      <c r="AI295" s="265">
        <f t="shared" si="177"/>
        <v>20.426261415749494</v>
      </c>
      <c r="AJ295" s="266">
        <f t="shared" si="178"/>
        <v>245.11513698899392</v>
      </c>
      <c r="AK295" s="262"/>
      <c r="AN295" s="241">
        <v>0</v>
      </c>
      <c r="AO295" s="240">
        <f t="shared" si="179"/>
        <v>0</v>
      </c>
      <c r="AP295" s="241">
        <v>1</v>
      </c>
      <c r="AQ295" s="240">
        <f t="shared" si="180"/>
        <v>20.426261415749494</v>
      </c>
      <c r="AR295" s="241">
        <v>0</v>
      </c>
      <c r="AS295" s="240">
        <f t="shared" si="181"/>
        <v>0</v>
      </c>
      <c r="AT295" s="241">
        <v>0</v>
      </c>
      <c r="AU295" s="240">
        <f t="shared" si="174"/>
        <v>0</v>
      </c>
    </row>
    <row r="296" spans="1:47" s="274" customFormat="1" ht="15" x14ac:dyDescent="0.25">
      <c r="A296" s="274" t="str">
        <f t="shared" si="175"/>
        <v>allRecyclingCRY6Y3X</v>
      </c>
      <c r="B296" s="241" t="str">
        <f t="shared" si="176"/>
        <v>VancRecyclingCRY6Y3X</v>
      </c>
      <c r="C296" s="232" t="s">
        <v>481</v>
      </c>
      <c r="D296" s="232" t="s">
        <v>564</v>
      </c>
      <c r="E296" s="238">
        <v>562.55999999999995</v>
      </c>
      <c r="F296" s="238">
        <v>590.68999999999994</v>
      </c>
      <c r="G296" s="238">
        <v>590.68999999999994</v>
      </c>
      <c r="I296" s="243">
        <v>2707.24</v>
      </c>
      <c r="J296" s="243">
        <v>2707.24</v>
      </c>
      <c r="K296" s="243">
        <v>2707.24</v>
      </c>
      <c r="L296" s="243">
        <v>2786.51</v>
      </c>
      <c r="M296" s="243">
        <v>3081.85</v>
      </c>
      <c r="N296" s="243">
        <v>3377.2</v>
      </c>
      <c r="O296" s="243">
        <v>3377.2</v>
      </c>
      <c r="P296" s="243">
        <v>3377.2</v>
      </c>
      <c r="Q296" s="243">
        <v>4558.58</v>
      </c>
      <c r="R296" s="243">
        <v>3993.46</v>
      </c>
      <c r="S296" s="243">
        <v>2221.39</v>
      </c>
      <c r="T296" s="243">
        <v>3441.83</v>
      </c>
      <c r="U296" s="263">
        <f t="shared" si="157"/>
        <v>38336.94</v>
      </c>
      <c r="W296" s="264">
        <f t="shared" si="158"/>
        <v>4.8123577929465302</v>
      </c>
      <c r="X296" s="264">
        <f t="shared" si="159"/>
        <v>4.8123577929465302</v>
      </c>
      <c r="Y296" s="264">
        <f t="shared" si="160"/>
        <v>4.8123577929465302</v>
      </c>
      <c r="Z296" s="264">
        <f t="shared" si="161"/>
        <v>4.7173813675532017</v>
      </c>
      <c r="AA296" s="264">
        <f t="shared" si="162"/>
        <v>5.2173729028762974</v>
      </c>
      <c r="AB296" s="264">
        <f t="shared" si="163"/>
        <v>5.7173813675532008</v>
      </c>
      <c r="AC296" s="264">
        <f t="shared" si="164"/>
        <v>5.7173813675532008</v>
      </c>
      <c r="AD296" s="264">
        <f t="shared" si="165"/>
        <v>5.7173813675532008</v>
      </c>
      <c r="AE296" s="264">
        <f t="shared" si="166"/>
        <v>7.7173813675532008</v>
      </c>
      <c r="AF296" s="264">
        <f t="shared" si="167"/>
        <v>6.7606697252365882</v>
      </c>
      <c r="AG296" s="264">
        <f t="shared" si="168"/>
        <v>3.7606697252365877</v>
      </c>
      <c r="AH296" s="264">
        <f t="shared" si="169"/>
        <v>5.8267957812050319</v>
      </c>
      <c r="AI296" s="265">
        <f t="shared" si="177"/>
        <v>5.4657906959300098</v>
      </c>
      <c r="AJ296" s="266">
        <f t="shared" si="178"/>
        <v>65.589488351160114</v>
      </c>
      <c r="AK296" s="262"/>
      <c r="AN296" s="241">
        <v>0</v>
      </c>
      <c r="AO296" s="240">
        <f t="shared" si="179"/>
        <v>0</v>
      </c>
      <c r="AP296" s="241">
        <v>1</v>
      </c>
      <c r="AQ296" s="240">
        <f t="shared" si="180"/>
        <v>5.4657906959300098</v>
      </c>
      <c r="AR296" s="241">
        <v>0</v>
      </c>
      <c r="AS296" s="240">
        <f t="shared" si="181"/>
        <v>0</v>
      </c>
      <c r="AT296" s="241">
        <v>0</v>
      </c>
      <c r="AU296" s="240">
        <f t="shared" si="174"/>
        <v>0</v>
      </c>
    </row>
    <row r="297" spans="1:47" s="274" customFormat="1" ht="15" x14ac:dyDescent="0.25">
      <c r="A297" s="274" t="str">
        <f t="shared" si="175"/>
        <v>allRecyclingCRY6Y4X</v>
      </c>
      <c r="B297" s="241" t="str">
        <f>"Vanc"&amp;"Recycling"&amp;C297</f>
        <v>VancRecyclingCRY6Y4X</v>
      </c>
      <c r="C297" s="232" t="s">
        <v>1079</v>
      </c>
      <c r="D297" s="232" t="s">
        <v>1080</v>
      </c>
      <c r="E297" s="238">
        <v>731.67</v>
      </c>
      <c r="F297" s="238">
        <v>768.25</v>
      </c>
      <c r="G297" s="238">
        <v>768.25</v>
      </c>
      <c r="I297" s="243">
        <v>596.44000000000005</v>
      </c>
      <c r="J297" s="243">
        <v>596.44000000000005</v>
      </c>
      <c r="K297" s="243">
        <v>596.44000000000005</v>
      </c>
      <c r="L297" s="243">
        <v>596.44000000000005</v>
      </c>
      <c r="M297" s="243">
        <v>596.44000000000005</v>
      </c>
      <c r="N297" s="243">
        <v>596.44000000000005</v>
      </c>
      <c r="O297" s="243">
        <v>484.61</v>
      </c>
      <c r="P297" s="243">
        <v>0</v>
      </c>
      <c r="Q297" s="243">
        <v>0</v>
      </c>
      <c r="R297" s="243">
        <v>0</v>
      </c>
      <c r="S297" s="243">
        <v>0</v>
      </c>
      <c r="T297" s="243">
        <v>0</v>
      </c>
      <c r="U297" s="263">
        <f t="shared" si="157"/>
        <v>4063.2500000000005</v>
      </c>
      <c r="W297" s="264">
        <f t="shared" si="158"/>
        <v>0.81517624065494021</v>
      </c>
      <c r="X297" s="264">
        <f t="shared" si="159"/>
        <v>0.81517624065494021</v>
      </c>
      <c r="Y297" s="264">
        <f t="shared" si="160"/>
        <v>0.81517624065494021</v>
      </c>
      <c r="Z297" s="264">
        <f t="shared" si="161"/>
        <v>0.77636186137325092</v>
      </c>
      <c r="AA297" s="264">
        <f t="shared" si="162"/>
        <v>0.77636186137325092</v>
      </c>
      <c r="AB297" s="264">
        <f t="shared" si="163"/>
        <v>0.77636186137325092</v>
      </c>
      <c r="AC297" s="264">
        <f t="shared" si="164"/>
        <v>0.63079726651480639</v>
      </c>
      <c r="AD297" s="264">
        <f t="shared" si="165"/>
        <v>0</v>
      </c>
      <c r="AE297" s="264">
        <f t="shared" si="166"/>
        <v>0</v>
      </c>
      <c r="AF297" s="264">
        <f t="shared" si="167"/>
        <v>0</v>
      </c>
      <c r="AG297" s="264">
        <f t="shared" si="168"/>
        <v>0</v>
      </c>
      <c r="AH297" s="264">
        <f t="shared" si="169"/>
        <v>0</v>
      </c>
      <c r="AI297" s="265">
        <f t="shared" si="177"/>
        <v>0.45045096438328164</v>
      </c>
      <c r="AJ297" s="266">
        <f t="shared" si="178"/>
        <v>5.4054115725993794</v>
      </c>
      <c r="AK297" s="262"/>
      <c r="AN297" s="241">
        <v>0</v>
      </c>
      <c r="AO297" s="240">
        <f t="shared" si="179"/>
        <v>0</v>
      </c>
      <c r="AP297" s="241">
        <v>1</v>
      </c>
      <c r="AQ297" s="240">
        <f t="shared" si="180"/>
        <v>0.45045096438328164</v>
      </c>
      <c r="AR297" s="241">
        <v>0</v>
      </c>
      <c r="AS297" s="240">
        <f t="shared" si="181"/>
        <v>0</v>
      </c>
      <c r="AT297" s="241">
        <v>0</v>
      </c>
      <c r="AU297" s="240">
        <f t="shared" si="174"/>
        <v>0</v>
      </c>
    </row>
    <row r="298" spans="1:47" s="274" customFormat="1" ht="15" x14ac:dyDescent="0.25">
      <c r="A298" s="274" t="str">
        <f t="shared" si="175"/>
        <v>allRecyclingCRY6Y5X</v>
      </c>
      <c r="B298" s="241" t="str">
        <f t="shared" si="176"/>
        <v>VancRecyclingCRY6Y5X</v>
      </c>
      <c r="C298" s="232" t="s">
        <v>884</v>
      </c>
      <c r="D298" s="232" t="s">
        <v>896</v>
      </c>
      <c r="E298" s="238">
        <v>821.39</v>
      </c>
      <c r="F298" s="238">
        <v>948.70999999999992</v>
      </c>
      <c r="G298" s="238">
        <v>948.70999999999992</v>
      </c>
      <c r="I298" s="243">
        <v>0</v>
      </c>
      <c r="J298" s="243">
        <v>0</v>
      </c>
      <c r="K298" s="243">
        <v>0</v>
      </c>
      <c r="L298" s="243">
        <v>0</v>
      </c>
      <c r="M298" s="243">
        <v>0</v>
      </c>
      <c r="N298" s="243">
        <v>0</v>
      </c>
      <c r="O298" s="243">
        <v>189.74</v>
      </c>
      <c r="P298" s="243">
        <v>948.71</v>
      </c>
      <c r="Q298" s="243">
        <v>948.71</v>
      </c>
      <c r="R298" s="243">
        <v>948.71</v>
      </c>
      <c r="S298" s="243">
        <v>948.71</v>
      </c>
      <c r="T298" s="243">
        <v>1009.43</v>
      </c>
      <c r="U298" s="263">
        <f t="shared" si="157"/>
        <v>4994.01</v>
      </c>
      <c r="W298" s="264">
        <f t="shared" si="158"/>
        <v>0</v>
      </c>
      <c r="X298" s="264">
        <f t="shared" si="159"/>
        <v>0</v>
      </c>
      <c r="Y298" s="264">
        <f t="shared" si="160"/>
        <v>0</v>
      </c>
      <c r="Z298" s="264">
        <f t="shared" si="161"/>
        <v>0</v>
      </c>
      <c r="AA298" s="264">
        <f t="shared" si="162"/>
        <v>0</v>
      </c>
      <c r="AB298" s="264">
        <f t="shared" si="163"/>
        <v>0</v>
      </c>
      <c r="AC298" s="264">
        <f t="shared" si="164"/>
        <v>0.19999789187422926</v>
      </c>
      <c r="AD298" s="264">
        <f t="shared" si="165"/>
        <v>1.0000000000000002</v>
      </c>
      <c r="AE298" s="264">
        <f t="shared" si="166"/>
        <v>1.0000000000000002</v>
      </c>
      <c r="AF298" s="264">
        <f t="shared" si="167"/>
        <v>1.0000000000000002</v>
      </c>
      <c r="AG298" s="264">
        <f t="shared" si="168"/>
        <v>1.0000000000000002</v>
      </c>
      <c r="AH298" s="264">
        <f t="shared" si="169"/>
        <v>1.0640026984009867</v>
      </c>
      <c r="AI298" s="265">
        <f t="shared" si="177"/>
        <v>0.43866671585626804</v>
      </c>
      <c r="AJ298" s="266">
        <f t="shared" si="178"/>
        <v>5.2640005902752165</v>
      </c>
      <c r="AK298" s="262"/>
      <c r="AN298" s="241">
        <v>0</v>
      </c>
      <c r="AO298" s="240">
        <f t="shared" si="179"/>
        <v>0</v>
      </c>
      <c r="AP298" s="241">
        <v>1</v>
      </c>
      <c r="AQ298" s="240">
        <f t="shared" si="180"/>
        <v>0.43866671585626804</v>
      </c>
      <c r="AR298" s="241">
        <v>0</v>
      </c>
      <c r="AS298" s="240">
        <f t="shared" si="181"/>
        <v>0</v>
      </c>
      <c r="AT298" s="241">
        <v>0</v>
      </c>
      <c r="AU298" s="240">
        <f t="shared" si="174"/>
        <v>0</v>
      </c>
    </row>
    <row r="299" spans="1:47" s="274" customFormat="1" ht="15" x14ac:dyDescent="0.25">
      <c r="A299" s="274" t="str">
        <f t="shared" si="175"/>
        <v>allRecyclingCRY6YEOW</v>
      </c>
      <c r="B299" s="241" t="str">
        <f t="shared" si="176"/>
        <v>VancRecyclingCRY6YEOW</v>
      </c>
      <c r="C299" s="232" t="s">
        <v>482</v>
      </c>
      <c r="D299" s="232" t="s">
        <v>565</v>
      </c>
      <c r="E299" s="238">
        <v>134.62</v>
      </c>
      <c r="F299" s="238">
        <v>141.35</v>
      </c>
      <c r="G299" s="238">
        <v>141.35</v>
      </c>
      <c r="I299" s="243">
        <v>1208.1400000000001</v>
      </c>
      <c r="J299" s="243">
        <v>1208.1400000000001</v>
      </c>
      <c r="K299" s="243">
        <v>1208.1400000000001</v>
      </c>
      <c r="L299" s="243">
        <v>1187.78</v>
      </c>
      <c r="M299" s="243">
        <v>1258.46</v>
      </c>
      <c r="N299" s="243">
        <v>1258.46</v>
      </c>
      <c r="O299" s="243">
        <v>1258.46</v>
      </c>
      <c r="P299" s="243">
        <v>1258.46</v>
      </c>
      <c r="Q299" s="243">
        <v>1258.46</v>
      </c>
      <c r="R299" s="243">
        <v>1261.0899999999999</v>
      </c>
      <c r="S299" s="243">
        <v>1261.0899999999999</v>
      </c>
      <c r="T299" s="243">
        <v>1266.95</v>
      </c>
      <c r="U299" s="263">
        <f t="shared" si="157"/>
        <v>14893.630000000001</v>
      </c>
      <c r="W299" s="264">
        <f t="shared" si="158"/>
        <v>8.9744465904026161</v>
      </c>
      <c r="X299" s="264">
        <f t="shared" si="159"/>
        <v>8.9744465904026161</v>
      </c>
      <c r="Y299" s="264">
        <f t="shared" si="160"/>
        <v>8.9744465904026161</v>
      </c>
      <c r="Z299" s="264">
        <f t="shared" si="161"/>
        <v>8.4031128404669264</v>
      </c>
      <c r="AA299" s="264">
        <f t="shared" si="162"/>
        <v>8.9031482136540507</v>
      </c>
      <c r="AB299" s="264">
        <f t="shared" si="163"/>
        <v>8.9031482136540507</v>
      </c>
      <c r="AC299" s="264">
        <f t="shared" si="164"/>
        <v>8.9031482136540507</v>
      </c>
      <c r="AD299" s="264">
        <f t="shared" si="165"/>
        <v>8.9031482136540507</v>
      </c>
      <c r="AE299" s="264">
        <f t="shared" si="166"/>
        <v>8.9031482136540507</v>
      </c>
      <c r="AF299" s="264">
        <f t="shared" si="167"/>
        <v>8.9217545100813584</v>
      </c>
      <c r="AG299" s="264">
        <f t="shared" si="168"/>
        <v>8.9217545100813584</v>
      </c>
      <c r="AH299" s="264">
        <f t="shared" si="169"/>
        <v>8.9632118853908747</v>
      </c>
      <c r="AI299" s="265">
        <f t="shared" si="177"/>
        <v>8.8874095487915508</v>
      </c>
      <c r="AJ299" s="266">
        <f t="shared" si="178"/>
        <v>106.64891458549862</v>
      </c>
      <c r="AK299" s="262"/>
      <c r="AN299" s="241">
        <v>0</v>
      </c>
      <c r="AO299" s="240">
        <f t="shared" si="179"/>
        <v>0</v>
      </c>
      <c r="AP299" s="241">
        <v>1</v>
      </c>
      <c r="AQ299" s="240">
        <f t="shared" si="180"/>
        <v>8.8874095487915508</v>
      </c>
      <c r="AR299" s="241">
        <v>0</v>
      </c>
      <c r="AS299" s="240">
        <f t="shared" si="181"/>
        <v>0</v>
      </c>
      <c r="AT299" s="241">
        <v>0</v>
      </c>
      <c r="AU299" s="240">
        <f t="shared" si="174"/>
        <v>0</v>
      </c>
    </row>
    <row r="300" spans="1:47" s="274" customFormat="1" ht="15" x14ac:dyDescent="0.25">
      <c r="A300" s="274" t="str">
        <f t="shared" si="175"/>
        <v>allRecyclingCRY8Y1X</v>
      </c>
      <c r="B300" s="241" t="str">
        <f t="shared" si="176"/>
        <v>VancRecyclingCRY8Y1X</v>
      </c>
      <c r="C300" s="232" t="s">
        <v>483</v>
      </c>
      <c r="D300" s="232" t="s">
        <v>566</v>
      </c>
      <c r="E300" s="238">
        <v>230.01</v>
      </c>
      <c r="F300" s="238">
        <v>241.51000000000002</v>
      </c>
      <c r="G300" s="238">
        <v>241.51000000000002</v>
      </c>
      <c r="I300" s="243">
        <v>4616.92</v>
      </c>
      <c r="J300" s="243">
        <v>4616.92</v>
      </c>
      <c r="K300" s="243">
        <v>4559.41</v>
      </c>
      <c r="L300" s="243">
        <v>4350.8999999999996</v>
      </c>
      <c r="M300" s="243">
        <v>4713.16</v>
      </c>
      <c r="N300" s="243">
        <v>4833.92</v>
      </c>
      <c r="O300" s="243">
        <v>4652.79</v>
      </c>
      <c r="P300" s="243">
        <v>4443.6899999999996</v>
      </c>
      <c r="Q300" s="243">
        <v>4383.3100000000004</v>
      </c>
      <c r="R300" s="243">
        <v>4383.3100000000004</v>
      </c>
      <c r="S300" s="243">
        <v>4383.3100000000004</v>
      </c>
      <c r="T300" s="243">
        <v>4387.6400000000003</v>
      </c>
      <c r="U300" s="263">
        <f t="shared" si="157"/>
        <v>54325.279999999999</v>
      </c>
      <c r="W300" s="264">
        <f t="shared" si="158"/>
        <v>20.0726924916308</v>
      </c>
      <c r="X300" s="264">
        <f t="shared" si="159"/>
        <v>20.0726924916308</v>
      </c>
      <c r="Y300" s="264">
        <f t="shared" si="160"/>
        <v>19.822659884352856</v>
      </c>
      <c r="Z300" s="264">
        <f t="shared" si="161"/>
        <v>18.015403088899006</v>
      </c>
      <c r="AA300" s="264">
        <f t="shared" si="162"/>
        <v>19.51538238582253</v>
      </c>
      <c r="AB300" s="264">
        <f t="shared" si="163"/>
        <v>20.01540308889901</v>
      </c>
      <c r="AC300" s="264">
        <f t="shared" si="164"/>
        <v>19.265413440437246</v>
      </c>
      <c r="AD300" s="264">
        <f t="shared" si="165"/>
        <v>18.399610782162227</v>
      </c>
      <c r="AE300" s="264">
        <f t="shared" si="166"/>
        <v>18.149600430623991</v>
      </c>
      <c r="AF300" s="264">
        <f t="shared" si="167"/>
        <v>18.149600430623991</v>
      </c>
      <c r="AG300" s="264">
        <f t="shared" si="168"/>
        <v>18.149600430623991</v>
      </c>
      <c r="AH300" s="264">
        <f t="shared" si="169"/>
        <v>18.167529294853214</v>
      </c>
      <c r="AI300" s="265">
        <f t="shared" si="177"/>
        <v>18.982965686713303</v>
      </c>
      <c r="AJ300" s="266">
        <f t="shared" si="178"/>
        <v>227.79558824055965</v>
      </c>
      <c r="AK300" s="262"/>
      <c r="AN300" s="241">
        <v>0</v>
      </c>
      <c r="AO300" s="240">
        <f t="shared" si="179"/>
        <v>0</v>
      </c>
      <c r="AP300" s="241">
        <v>1</v>
      </c>
      <c r="AQ300" s="240">
        <f t="shared" si="180"/>
        <v>18.982965686713303</v>
      </c>
      <c r="AR300" s="241">
        <v>0</v>
      </c>
      <c r="AS300" s="240">
        <f t="shared" si="181"/>
        <v>0</v>
      </c>
      <c r="AT300" s="241">
        <v>0</v>
      </c>
      <c r="AU300" s="240">
        <f t="shared" si="174"/>
        <v>0</v>
      </c>
    </row>
    <row r="301" spans="1:47" s="274" customFormat="1" ht="15" x14ac:dyDescent="0.25">
      <c r="A301" s="274" t="str">
        <f t="shared" si="175"/>
        <v>allRecyclingCRY8Y2X</v>
      </c>
      <c r="B301" s="241" t="str">
        <f t="shared" si="176"/>
        <v>VancRecyclingCRY8Y2X</v>
      </c>
      <c r="C301" s="232" t="s">
        <v>484</v>
      </c>
      <c r="D301" s="232" t="s">
        <v>567</v>
      </c>
      <c r="E301" s="238">
        <v>410.11</v>
      </c>
      <c r="F301" s="238">
        <v>430.61999999999995</v>
      </c>
      <c r="G301" s="238">
        <v>430.61999999999995</v>
      </c>
      <c r="I301" s="243">
        <v>5740.17</v>
      </c>
      <c r="J301" s="243">
        <v>5740.17</v>
      </c>
      <c r="K301" s="243">
        <v>5842.69</v>
      </c>
      <c r="L301" s="243">
        <v>6837.16</v>
      </c>
      <c r="M301" s="243">
        <v>6621.85</v>
      </c>
      <c r="N301" s="243">
        <v>6406.54</v>
      </c>
      <c r="O301" s="243">
        <v>6406.54</v>
      </c>
      <c r="P301" s="243">
        <v>6406.54</v>
      </c>
      <c r="Q301" s="243">
        <v>5975.92</v>
      </c>
      <c r="R301" s="243">
        <v>6406.54</v>
      </c>
      <c r="S301" s="243">
        <v>6406.54</v>
      </c>
      <c r="T301" s="243">
        <v>6717.47</v>
      </c>
      <c r="U301" s="263">
        <f t="shared" si="157"/>
        <v>75508.13</v>
      </c>
      <c r="W301" s="264">
        <f t="shared" si="158"/>
        <v>13.996659432835093</v>
      </c>
      <c r="X301" s="264">
        <f t="shared" si="159"/>
        <v>13.996659432835093</v>
      </c>
      <c r="Y301" s="264">
        <f t="shared" si="160"/>
        <v>14.246641145058641</v>
      </c>
      <c r="Z301" s="264">
        <f t="shared" si="161"/>
        <v>15.877478983790814</v>
      </c>
      <c r="AA301" s="264">
        <f t="shared" si="162"/>
        <v>15.377478983790816</v>
      </c>
      <c r="AB301" s="264">
        <f t="shared" si="163"/>
        <v>14.877478983790814</v>
      </c>
      <c r="AC301" s="264">
        <f t="shared" si="164"/>
        <v>14.877478983790814</v>
      </c>
      <c r="AD301" s="264">
        <f t="shared" si="165"/>
        <v>14.877478983790814</v>
      </c>
      <c r="AE301" s="264">
        <f t="shared" si="166"/>
        <v>13.877478983790816</v>
      </c>
      <c r="AF301" s="264">
        <f t="shared" si="167"/>
        <v>14.877478983790814</v>
      </c>
      <c r="AG301" s="264">
        <f t="shared" si="168"/>
        <v>14.877478983790814</v>
      </c>
      <c r="AH301" s="264">
        <f t="shared" si="169"/>
        <v>15.599530908922022</v>
      </c>
      <c r="AI301" s="265">
        <f t="shared" si="177"/>
        <v>14.779943565831445</v>
      </c>
      <c r="AJ301" s="266">
        <f t="shared" si="178"/>
        <v>177.35932278997734</v>
      </c>
      <c r="AK301" s="262"/>
      <c r="AN301" s="241">
        <v>0</v>
      </c>
      <c r="AO301" s="240">
        <f t="shared" si="179"/>
        <v>0</v>
      </c>
      <c r="AP301" s="241">
        <v>1</v>
      </c>
      <c r="AQ301" s="240">
        <f t="shared" si="180"/>
        <v>14.779943565831445</v>
      </c>
      <c r="AR301" s="241">
        <v>0</v>
      </c>
      <c r="AS301" s="240">
        <f t="shared" si="181"/>
        <v>0</v>
      </c>
      <c r="AT301" s="241">
        <v>0</v>
      </c>
      <c r="AU301" s="240">
        <f t="shared" si="174"/>
        <v>0</v>
      </c>
    </row>
    <row r="302" spans="1:47" s="274" customFormat="1" ht="15" x14ac:dyDescent="0.25">
      <c r="A302" s="274" t="str">
        <f t="shared" si="175"/>
        <v>allRecyclingCRY8Y3X</v>
      </c>
      <c r="B302" s="241" t="str">
        <f t="shared" si="176"/>
        <v>VancRecyclingCRY8Y3X</v>
      </c>
      <c r="C302" s="232" t="s">
        <v>485</v>
      </c>
      <c r="D302" s="232" t="s">
        <v>568</v>
      </c>
      <c r="E302" s="238">
        <v>770.41</v>
      </c>
      <c r="F302" s="238">
        <v>808.93000000000006</v>
      </c>
      <c r="G302" s="238">
        <v>808.93000000000006</v>
      </c>
      <c r="I302" s="243">
        <v>4552.42</v>
      </c>
      <c r="J302" s="243">
        <v>4622.46</v>
      </c>
      <c r="K302" s="243">
        <v>4622.46</v>
      </c>
      <c r="L302" s="243">
        <v>4815.0600000000004</v>
      </c>
      <c r="M302" s="243">
        <v>4815.0600000000004</v>
      </c>
      <c r="N302" s="243">
        <v>4815.0600000000004</v>
      </c>
      <c r="O302" s="243">
        <v>4815.0600000000004</v>
      </c>
      <c r="P302" s="243">
        <v>5354.35</v>
      </c>
      <c r="Q302" s="243">
        <v>5623.99</v>
      </c>
      <c r="R302" s="243">
        <v>4815.0600000000004</v>
      </c>
      <c r="S302" s="243">
        <v>4815.0600000000004</v>
      </c>
      <c r="T302" s="243">
        <v>4815.0600000000004</v>
      </c>
      <c r="U302" s="263">
        <f t="shared" si="157"/>
        <v>58481.099999999991</v>
      </c>
      <c r="W302" s="264">
        <f t="shared" si="158"/>
        <v>5.9090873690632266</v>
      </c>
      <c r="X302" s="264">
        <f t="shared" si="159"/>
        <v>6</v>
      </c>
      <c r="Y302" s="264">
        <f t="shared" si="160"/>
        <v>6</v>
      </c>
      <c r="Z302" s="264">
        <f t="shared" si="161"/>
        <v>5.9523815410480507</v>
      </c>
      <c r="AA302" s="264">
        <f t="shared" si="162"/>
        <v>5.9523815410480507</v>
      </c>
      <c r="AB302" s="264">
        <f t="shared" si="163"/>
        <v>5.9523815410480507</v>
      </c>
      <c r="AC302" s="264">
        <f t="shared" si="164"/>
        <v>5.9523815410480507</v>
      </c>
      <c r="AD302" s="264">
        <f t="shared" si="165"/>
        <v>6.6190523283844094</v>
      </c>
      <c r="AE302" s="264">
        <f t="shared" si="166"/>
        <v>6.9523815410480507</v>
      </c>
      <c r="AF302" s="264">
        <f t="shared" si="167"/>
        <v>5.9523815410480507</v>
      </c>
      <c r="AG302" s="264">
        <f t="shared" si="168"/>
        <v>5.9523815410480507</v>
      </c>
      <c r="AH302" s="264">
        <f t="shared" si="169"/>
        <v>5.9523815410480507</v>
      </c>
      <c r="AI302" s="265">
        <f t="shared" si="177"/>
        <v>6.0955993354860034</v>
      </c>
      <c r="AJ302" s="266">
        <f t="shared" si="178"/>
        <v>73.147192025832041</v>
      </c>
      <c r="AK302" s="262"/>
      <c r="AN302" s="241">
        <v>0</v>
      </c>
      <c r="AO302" s="240">
        <f t="shared" si="179"/>
        <v>0</v>
      </c>
      <c r="AP302" s="241">
        <v>1</v>
      </c>
      <c r="AQ302" s="240">
        <f t="shared" si="180"/>
        <v>6.0955993354860034</v>
      </c>
      <c r="AR302" s="241">
        <v>0</v>
      </c>
      <c r="AS302" s="240">
        <f t="shared" si="181"/>
        <v>0</v>
      </c>
      <c r="AT302" s="241">
        <v>0</v>
      </c>
      <c r="AU302" s="240">
        <f t="shared" si="174"/>
        <v>0</v>
      </c>
    </row>
    <row r="303" spans="1:47" s="274" customFormat="1" ht="15" x14ac:dyDescent="0.25">
      <c r="A303" s="274" t="str">
        <f t="shared" si="175"/>
        <v>allRecyclingCRY8Y4X</v>
      </c>
      <c r="B303" s="241" t="str">
        <f t="shared" si="176"/>
        <v>VancRecyclingCRY8Y4X</v>
      </c>
      <c r="C303" s="232" t="s">
        <v>486</v>
      </c>
      <c r="D303" s="232" t="s">
        <v>569</v>
      </c>
      <c r="E303" s="238">
        <v>950.57</v>
      </c>
      <c r="F303" s="238">
        <v>998.10000000000014</v>
      </c>
      <c r="G303" s="238">
        <v>998.10000000000014</v>
      </c>
      <c r="I303" s="243">
        <v>950.57</v>
      </c>
      <c r="J303" s="243">
        <v>950.57</v>
      </c>
      <c r="K303" s="243">
        <v>950.57</v>
      </c>
      <c r="L303" s="243">
        <v>998.1</v>
      </c>
      <c r="M303" s="243">
        <v>998.1</v>
      </c>
      <c r="N303" s="243">
        <v>998.1</v>
      </c>
      <c r="O303" s="243">
        <v>998.1</v>
      </c>
      <c r="P303" s="243">
        <v>998.1</v>
      </c>
      <c r="Q303" s="243">
        <v>748.58</v>
      </c>
      <c r="R303" s="243">
        <v>0</v>
      </c>
      <c r="S303" s="243">
        <v>0</v>
      </c>
      <c r="T303" s="243">
        <v>0</v>
      </c>
      <c r="U303" s="263">
        <f t="shared" si="157"/>
        <v>8590.7900000000009</v>
      </c>
      <c r="W303" s="264">
        <f t="shared" si="158"/>
        <v>1</v>
      </c>
      <c r="X303" s="264">
        <f t="shared" si="159"/>
        <v>1</v>
      </c>
      <c r="Y303" s="264">
        <f t="shared" si="160"/>
        <v>1</v>
      </c>
      <c r="Z303" s="264">
        <f t="shared" si="161"/>
        <v>0.99999999999999989</v>
      </c>
      <c r="AA303" s="264">
        <f t="shared" si="162"/>
        <v>0.99999999999999989</v>
      </c>
      <c r="AB303" s="264">
        <f t="shared" si="163"/>
        <v>0.99999999999999989</v>
      </c>
      <c r="AC303" s="264">
        <f t="shared" si="164"/>
        <v>0.99999999999999989</v>
      </c>
      <c r="AD303" s="264">
        <f t="shared" si="165"/>
        <v>0.99999999999999989</v>
      </c>
      <c r="AE303" s="264">
        <f t="shared" si="166"/>
        <v>0.75000500951808435</v>
      </c>
      <c r="AF303" s="264">
        <f t="shared" si="167"/>
        <v>0</v>
      </c>
      <c r="AG303" s="264">
        <f t="shared" si="168"/>
        <v>0</v>
      </c>
      <c r="AH303" s="264">
        <f t="shared" si="169"/>
        <v>0</v>
      </c>
      <c r="AI303" s="265">
        <f t="shared" si="177"/>
        <v>0.72916708412650699</v>
      </c>
      <c r="AJ303" s="266">
        <f t="shared" si="178"/>
        <v>8.7500050095180839</v>
      </c>
      <c r="AK303" s="262"/>
      <c r="AN303" s="241">
        <v>0</v>
      </c>
      <c r="AO303" s="240">
        <f t="shared" si="179"/>
        <v>0</v>
      </c>
      <c r="AP303" s="241">
        <v>1</v>
      </c>
      <c r="AQ303" s="240">
        <f t="shared" si="180"/>
        <v>0.72916708412650699</v>
      </c>
      <c r="AR303" s="241">
        <v>0</v>
      </c>
      <c r="AS303" s="240">
        <f t="shared" si="181"/>
        <v>0</v>
      </c>
      <c r="AT303" s="241">
        <v>0</v>
      </c>
      <c r="AU303" s="240">
        <f t="shared" si="174"/>
        <v>0</v>
      </c>
    </row>
    <row r="304" spans="1:47" s="274" customFormat="1" ht="15" x14ac:dyDescent="0.25">
      <c r="A304" s="274" t="str">
        <f t="shared" si="175"/>
        <v>allRecyclingCRY8Y5X</v>
      </c>
      <c r="B304" s="241" t="str">
        <f t="shared" si="176"/>
        <v>VancRecyclingCRY8Y5X</v>
      </c>
      <c r="C304" s="232" t="s">
        <v>885</v>
      </c>
      <c r="D304" s="232" t="s">
        <v>897</v>
      </c>
      <c r="E304" s="238">
        <v>1027.9000000000001</v>
      </c>
      <c r="F304" s="238">
        <v>1187.22</v>
      </c>
      <c r="G304" s="238">
        <v>1187.22</v>
      </c>
      <c r="I304" s="243">
        <v>5072.58</v>
      </c>
      <c r="J304" s="243">
        <v>5072.58</v>
      </c>
      <c r="K304" s="243">
        <v>5072.58</v>
      </c>
      <c r="L304" s="243">
        <v>5279.19</v>
      </c>
      <c r="M304" s="243">
        <v>5279.19</v>
      </c>
      <c r="N304" s="243">
        <v>5279.19</v>
      </c>
      <c r="O304" s="243">
        <v>5279.19</v>
      </c>
      <c r="P304" s="243">
        <v>5872.8</v>
      </c>
      <c r="Q304" s="243">
        <v>6763.22</v>
      </c>
      <c r="R304" s="243">
        <v>7653.63</v>
      </c>
      <c r="S304" s="243">
        <v>7653.63</v>
      </c>
      <c r="T304" s="243">
        <v>7713.8</v>
      </c>
      <c r="U304" s="263">
        <f t="shared" si="157"/>
        <v>71991.58</v>
      </c>
      <c r="W304" s="264">
        <f t="shared" si="158"/>
        <v>4.9348963906994836</v>
      </c>
      <c r="X304" s="264">
        <f t="shared" si="159"/>
        <v>4.9348963906994836</v>
      </c>
      <c r="Y304" s="264">
        <f t="shared" si="160"/>
        <v>4.9348963906994836</v>
      </c>
      <c r="Z304" s="264">
        <f t="shared" si="161"/>
        <v>4.4466821650578661</v>
      </c>
      <c r="AA304" s="264">
        <f t="shared" si="162"/>
        <v>4.4466821650578661</v>
      </c>
      <c r="AB304" s="264">
        <f t="shared" si="163"/>
        <v>4.4466821650578661</v>
      </c>
      <c r="AC304" s="264">
        <f t="shared" si="164"/>
        <v>4.4466821650578661</v>
      </c>
      <c r="AD304" s="264">
        <f t="shared" si="165"/>
        <v>4.9466821650578661</v>
      </c>
      <c r="AE304" s="264">
        <f t="shared" si="166"/>
        <v>5.6966863765772144</v>
      </c>
      <c r="AF304" s="264">
        <f t="shared" si="167"/>
        <v>6.4466821650578661</v>
      </c>
      <c r="AG304" s="264">
        <f t="shared" si="168"/>
        <v>6.4466821650578661</v>
      </c>
      <c r="AH304" s="264">
        <f t="shared" si="169"/>
        <v>6.4973635888883274</v>
      </c>
      <c r="AI304" s="265">
        <f t="shared" si="177"/>
        <v>5.2187928577474212</v>
      </c>
      <c r="AJ304" s="266">
        <f t="shared" si="178"/>
        <v>62.625514292969051</v>
      </c>
      <c r="AK304" s="262"/>
      <c r="AN304" s="241">
        <v>0</v>
      </c>
      <c r="AO304" s="240">
        <f t="shared" si="179"/>
        <v>0</v>
      </c>
      <c r="AP304" s="241">
        <v>1</v>
      </c>
      <c r="AQ304" s="240">
        <f t="shared" si="180"/>
        <v>5.2187928577474212</v>
      </c>
      <c r="AR304" s="241">
        <v>0</v>
      </c>
      <c r="AS304" s="240">
        <f t="shared" si="181"/>
        <v>0</v>
      </c>
      <c r="AT304" s="241">
        <v>0</v>
      </c>
      <c r="AU304" s="240">
        <f t="shared" si="174"/>
        <v>0</v>
      </c>
    </row>
    <row r="305" spans="1:47" s="274" customFormat="1" ht="15" x14ac:dyDescent="0.25">
      <c r="A305" s="274" t="str">
        <f t="shared" si="175"/>
        <v>allRecyclingCRY8YEOW</v>
      </c>
      <c r="B305" s="241" t="str">
        <f t="shared" si="176"/>
        <v>VancRecyclingCRY8YEOW</v>
      </c>
      <c r="C305" s="232" t="s">
        <v>886</v>
      </c>
      <c r="D305" s="232" t="s">
        <v>898</v>
      </c>
      <c r="E305" s="238">
        <v>140.99</v>
      </c>
      <c r="F305" s="238">
        <v>148.04</v>
      </c>
      <c r="G305" s="238">
        <v>148.04</v>
      </c>
      <c r="I305" s="243">
        <v>278.36</v>
      </c>
      <c r="J305" s="243">
        <v>278.36</v>
      </c>
      <c r="K305" s="243">
        <v>278.36</v>
      </c>
      <c r="L305" s="243">
        <v>292.27999999999997</v>
      </c>
      <c r="M305" s="243">
        <v>292.27999999999997</v>
      </c>
      <c r="N305" s="243">
        <v>292.27999999999997</v>
      </c>
      <c r="O305" s="243">
        <v>292.27999999999997</v>
      </c>
      <c r="P305" s="243">
        <v>292.27999999999997</v>
      </c>
      <c r="Q305" s="243">
        <v>292.27999999999997</v>
      </c>
      <c r="R305" s="243">
        <v>292.27999999999997</v>
      </c>
      <c r="S305" s="243">
        <v>292.27999999999997</v>
      </c>
      <c r="T305" s="243">
        <v>292.27999999999997</v>
      </c>
      <c r="U305" s="263">
        <f t="shared" si="157"/>
        <v>3465.5999999999995</v>
      </c>
      <c r="W305" s="264">
        <f t="shared" si="158"/>
        <v>1.9743244201716434</v>
      </c>
      <c r="X305" s="264">
        <f t="shared" si="159"/>
        <v>1.9743244201716434</v>
      </c>
      <c r="Y305" s="264">
        <f t="shared" si="160"/>
        <v>1.9743244201716434</v>
      </c>
      <c r="Z305" s="264">
        <f t="shared" si="161"/>
        <v>1.9743312618211293</v>
      </c>
      <c r="AA305" s="264">
        <f t="shared" si="162"/>
        <v>1.9743312618211293</v>
      </c>
      <c r="AB305" s="264">
        <f t="shared" si="163"/>
        <v>1.9743312618211293</v>
      </c>
      <c r="AC305" s="264">
        <f t="shared" si="164"/>
        <v>1.9743312618211293</v>
      </c>
      <c r="AD305" s="264">
        <f t="shared" si="165"/>
        <v>1.9743312618211293</v>
      </c>
      <c r="AE305" s="264">
        <f t="shared" si="166"/>
        <v>1.9743312618211293</v>
      </c>
      <c r="AF305" s="264">
        <f t="shared" si="167"/>
        <v>1.9743312618211293</v>
      </c>
      <c r="AG305" s="264">
        <f t="shared" si="168"/>
        <v>1.9743312618211293</v>
      </c>
      <c r="AH305" s="264">
        <f t="shared" si="169"/>
        <v>1.9743312618211293</v>
      </c>
      <c r="AI305" s="265">
        <f t="shared" si="177"/>
        <v>1.9743295514087575</v>
      </c>
      <c r="AJ305" s="266">
        <f t="shared" si="178"/>
        <v>23.69195461690509</v>
      </c>
      <c r="AK305" s="262"/>
      <c r="AN305" s="241">
        <v>0</v>
      </c>
      <c r="AO305" s="240">
        <f t="shared" si="179"/>
        <v>0</v>
      </c>
      <c r="AP305" s="241">
        <v>1</v>
      </c>
      <c r="AQ305" s="240">
        <f t="shared" si="180"/>
        <v>1.9743295514087575</v>
      </c>
      <c r="AR305" s="241">
        <v>0</v>
      </c>
      <c r="AS305" s="240">
        <f t="shared" si="181"/>
        <v>0</v>
      </c>
      <c r="AT305" s="241">
        <v>0</v>
      </c>
      <c r="AU305" s="240">
        <f t="shared" si="174"/>
        <v>0</v>
      </c>
    </row>
    <row r="306" spans="1:47" s="274" customFormat="1" ht="15" x14ac:dyDescent="0.25">
      <c r="A306" s="274" t="str">
        <f>"Food"&amp;"Recycling"&amp;C306</f>
        <v>FoodRecyclingSFR65G1X</v>
      </c>
      <c r="B306" s="241" t="str">
        <f>"Vanc"&amp;"Recycling"&amp;C306</f>
        <v>VancRecyclingSFR65G1X</v>
      </c>
      <c r="C306" s="232" t="s">
        <v>1276</v>
      </c>
      <c r="D306" s="232" t="s">
        <v>1365</v>
      </c>
      <c r="E306" s="238">
        <v>24.72</v>
      </c>
      <c r="F306" s="238">
        <v>24.72</v>
      </c>
      <c r="G306" s="238">
        <v>24.72</v>
      </c>
      <c r="I306" s="243">
        <v>4434.5</v>
      </c>
      <c r="J306" s="243">
        <v>4510.5200000000004</v>
      </c>
      <c r="K306" s="243">
        <v>2743.04</v>
      </c>
      <c r="L306" s="243">
        <v>2762.06</v>
      </c>
      <c r="M306" s="243">
        <v>1918.81</v>
      </c>
      <c r="N306" s="243">
        <v>4542.22</v>
      </c>
      <c r="O306" s="243">
        <v>4637.22</v>
      </c>
      <c r="P306" s="243">
        <v>4713.24</v>
      </c>
      <c r="Q306" s="243">
        <v>4713.24</v>
      </c>
      <c r="R306" s="243">
        <v>4713.24</v>
      </c>
      <c r="S306" s="243">
        <v>4713.24</v>
      </c>
      <c r="T306" s="243">
        <v>4731.78</v>
      </c>
      <c r="U306" s="263">
        <f t="shared" si="157"/>
        <v>49133.109999999993</v>
      </c>
      <c r="W306" s="264">
        <f t="shared" si="158"/>
        <v>179.38915857605178</v>
      </c>
      <c r="X306" s="264">
        <f t="shared" si="159"/>
        <v>182.4644012944984</v>
      </c>
      <c r="Y306" s="264">
        <f t="shared" si="160"/>
        <v>110.96440129449839</v>
      </c>
      <c r="Z306" s="264">
        <f t="shared" si="161"/>
        <v>111.73381877022653</v>
      </c>
      <c r="AA306" s="264">
        <f t="shared" si="162"/>
        <v>77.621763754045304</v>
      </c>
      <c r="AB306" s="264">
        <f t="shared" si="163"/>
        <v>183.74676375404533</v>
      </c>
      <c r="AC306" s="264">
        <f t="shared" si="164"/>
        <v>187.58980582524273</v>
      </c>
      <c r="AD306" s="264">
        <f t="shared" si="165"/>
        <v>190.66504854368932</v>
      </c>
      <c r="AE306" s="264">
        <f t="shared" si="166"/>
        <v>190.66504854368932</v>
      </c>
      <c r="AF306" s="264">
        <f t="shared" si="167"/>
        <v>190.66504854368932</v>
      </c>
      <c r="AG306" s="264">
        <f t="shared" si="168"/>
        <v>190.66504854368932</v>
      </c>
      <c r="AH306" s="264">
        <f t="shared" si="169"/>
        <v>191.41504854368932</v>
      </c>
      <c r="AI306" s="265">
        <f>+IFERROR(AVERAGE(W306:AH306),0)</f>
        <v>165.63211299892129</v>
      </c>
      <c r="AJ306" s="266">
        <f t="shared" si="178"/>
        <v>1987.5853559870554</v>
      </c>
      <c r="AK306" s="262"/>
      <c r="AN306" s="241">
        <v>1</v>
      </c>
      <c r="AO306" s="240">
        <f t="shared" si="179"/>
        <v>165.63211299892129</v>
      </c>
      <c r="AP306" s="241">
        <v>0</v>
      </c>
      <c r="AQ306" s="240">
        <f t="shared" si="180"/>
        <v>0</v>
      </c>
      <c r="AR306" s="241">
        <v>0</v>
      </c>
      <c r="AS306" s="240">
        <f t="shared" si="181"/>
        <v>0</v>
      </c>
      <c r="AT306" s="241">
        <v>0</v>
      </c>
      <c r="AU306" s="240">
        <f t="shared" si="174"/>
        <v>0</v>
      </c>
    </row>
    <row r="307" spans="1:47" s="274" customFormat="1" ht="15" x14ac:dyDescent="0.25">
      <c r="A307" s="274" t="str">
        <f>"Food"&amp;"Recycling"&amp;C307</f>
        <v>FoodRecyclingCFR32G1X</v>
      </c>
      <c r="B307" s="241" t="str">
        <f t="shared" si="176"/>
        <v>VancRecyclingCFR32G1X</v>
      </c>
      <c r="C307" s="232" t="s">
        <v>487</v>
      </c>
      <c r="D307" s="232" t="s">
        <v>570</v>
      </c>
      <c r="E307" s="238">
        <v>0</v>
      </c>
      <c r="F307" s="238">
        <v>17.680000000000003</v>
      </c>
      <c r="G307" s="238">
        <v>17.680000000000003</v>
      </c>
      <c r="I307" s="243">
        <v>34.020000000000003</v>
      </c>
      <c r="J307" s="243">
        <v>34.020000000000003</v>
      </c>
      <c r="K307" s="243">
        <v>34.020000000000003</v>
      </c>
      <c r="L307" s="243">
        <v>34.020000000000003</v>
      </c>
      <c r="M307" s="243">
        <v>34.020000000000003</v>
      </c>
      <c r="N307" s="243">
        <v>34.020000000000003</v>
      </c>
      <c r="O307" s="243">
        <v>34.020000000000003</v>
      </c>
      <c r="P307" s="243">
        <v>34.020000000000003</v>
      </c>
      <c r="Q307" s="243">
        <v>34.020000000000003</v>
      </c>
      <c r="R307" s="243">
        <v>34.020000000000003</v>
      </c>
      <c r="S307" s="243">
        <v>35.36</v>
      </c>
      <c r="T307" s="243">
        <v>35.36</v>
      </c>
      <c r="U307" s="263">
        <f t="shared" si="157"/>
        <v>410.92</v>
      </c>
      <c r="W307" s="264">
        <f t="shared" si="158"/>
        <v>0</v>
      </c>
      <c r="X307" s="264">
        <f t="shared" si="159"/>
        <v>0</v>
      </c>
      <c r="Y307" s="264">
        <f t="shared" si="160"/>
        <v>0</v>
      </c>
      <c r="Z307" s="264">
        <f t="shared" si="161"/>
        <v>1.9242081447963799</v>
      </c>
      <c r="AA307" s="264">
        <f t="shared" si="162"/>
        <v>1.9242081447963799</v>
      </c>
      <c r="AB307" s="264">
        <f t="shared" si="163"/>
        <v>1.9242081447963799</v>
      </c>
      <c r="AC307" s="264">
        <f t="shared" si="164"/>
        <v>1.9242081447963799</v>
      </c>
      <c r="AD307" s="264">
        <f t="shared" si="165"/>
        <v>1.9242081447963799</v>
      </c>
      <c r="AE307" s="264">
        <f t="shared" si="166"/>
        <v>1.9242081447963799</v>
      </c>
      <c r="AF307" s="264">
        <f t="shared" si="167"/>
        <v>1.9242081447963799</v>
      </c>
      <c r="AG307" s="264">
        <f t="shared" si="168"/>
        <v>1.9999999999999996</v>
      </c>
      <c r="AH307" s="264">
        <f t="shared" si="169"/>
        <v>1.9999999999999996</v>
      </c>
      <c r="AI307" s="265">
        <f t="shared" si="177"/>
        <v>1.4557880844645548</v>
      </c>
      <c r="AJ307" s="266">
        <f t="shared" si="178"/>
        <v>17.469457013574658</v>
      </c>
      <c r="AK307" s="262"/>
      <c r="AN307" s="241">
        <v>1</v>
      </c>
      <c r="AO307" s="240">
        <f t="shared" si="179"/>
        <v>1.4557880844645548</v>
      </c>
      <c r="AP307" s="241">
        <v>0</v>
      </c>
      <c r="AQ307" s="240">
        <f t="shared" si="180"/>
        <v>0</v>
      </c>
      <c r="AR307" s="241">
        <v>0</v>
      </c>
      <c r="AS307" s="240">
        <f t="shared" si="181"/>
        <v>0</v>
      </c>
      <c r="AT307" s="241">
        <v>0</v>
      </c>
      <c r="AU307" s="240">
        <f t="shared" si="174"/>
        <v>0</v>
      </c>
    </row>
    <row r="308" spans="1:47" s="274" customFormat="1" ht="15" x14ac:dyDescent="0.25">
      <c r="A308" s="274" t="str">
        <f>"Food"&amp;"Recycling"&amp;C308</f>
        <v>FoodRecyclingCFR65G1X</v>
      </c>
      <c r="B308" s="241" t="str">
        <f t="shared" si="176"/>
        <v>VancRecyclingCFR65G1X</v>
      </c>
      <c r="C308" s="232" t="s">
        <v>488</v>
      </c>
      <c r="D308" s="232" t="s">
        <v>571</v>
      </c>
      <c r="E308" s="238">
        <v>0</v>
      </c>
      <c r="F308" s="238">
        <v>35.71</v>
      </c>
      <c r="G308" s="238">
        <v>35.71</v>
      </c>
      <c r="I308" s="243">
        <v>284.37</v>
      </c>
      <c r="J308" s="243">
        <v>284.37</v>
      </c>
      <c r="K308" s="243">
        <v>284.37</v>
      </c>
      <c r="L308" s="243">
        <v>284.37</v>
      </c>
      <c r="M308" s="243">
        <v>284.37</v>
      </c>
      <c r="N308" s="243">
        <v>284.37</v>
      </c>
      <c r="O308" s="243">
        <v>284.37</v>
      </c>
      <c r="P308" s="243">
        <v>284.37</v>
      </c>
      <c r="Q308" s="243">
        <v>284.37</v>
      </c>
      <c r="R308" s="243">
        <v>298.58999999999997</v>
      </c>
      <c r="S308" s="243">
        <v>298.58999999999997</v>
      </c>
      <c r="T308" s="243">
        <v>298.58999999999997</v>
      </c>
      <c r="U308" s="263">
        <f t="shared" si="157"/>
        <v>3455.1</v>
      </c>
      <c r="W308" s="264">
        <f t="shared" si="158"/>
        <v>0</v>
      </c>
      <c r="X308" s="264">
        <f t="shared" si="159"/>
        <v>0</v>
      </c>
      <c r="Y308" s="264">
        <f t="shared" si="160"/>
        <v>0</v>
      </c>
      <c r="Z308" s="264">
        <f t="shared" si="161"/>
        <v>7.9633155978717447</v>
      </c>
      <c r="AA308" s="264">
        <f t="shared" si="162"/>
        <v>7.9633155978717447</v>
      </c>
      <c r="AB308" s="264">
        <f t="shared" si="163"/>
        <v>7.9633155978717447</v>
      </c>
      <c r="AC308" s="264">
        <f t="shared" si="164"/>
        <v>7.9633155978717447</v>
      </c>
      <c r="AD308" s="264">
        <f t="shared" si="165"/>
        <v>7.9633155978717447</v>
      </c>
      <c r="AE308" s="264">
        <f t="shared" si="166"/>
        <v>7.9633155978717447</v>
      </c>
      <c r="AF308" s="264">
        <f t="shared" si="167"/>
        <v>8.3615233828059363</v>
      </c>
      <c r="AG308" s="264">
        <f t="shared" si="168"/>
        <v>8.3615233828059363</v>
      </c>
      <c r="AH308" s="264">
        <f t="shared" si="169"/>
        <v>8.3615233828059363</v>
      </c>
      <c r="AI308" s="265">
        <f t="shared" si="177"/>
        <v>6.072038644637356</v>
      </c>
      <c r="AJ308" s="266">
        <f t="shared" si="178"/>
        <v>72.864463735648272</v>
      </c>
      <c r="AK308" s="262"/>
      <c r="AN308" s="241">
        <v>1</v>
      </c>
      <c r="AO308" s="240">
        <f t="shared" si="179"/>
        <v>6.072038644637356</v>
      </c>
      <c r="AP308" s="241">
        <v>0</v>
      </c>
      <c r="AQ308" s="240">
        <f t="shared" si="180"/>
        <v>0</v>
      </c>
      <c r="AR308" s="241">
        <v>0</v>
      </c>
      <c r="AS308" s="240">
        <f t="shared" si="181"/>
        <v>0</v>
      </c>
      <c r="AT308" s="241">
        <v>0</v>
      </c>
      <c r="AU308" s="240">
        <f t="shared" si="174"/>
        <v>0</v>
      </c>
    </row>
    <row r="309" spans="1:47" s="274" customFormat="1" ht="15" x14ac:dyDescent="0.25">
      <c r="A309" s="274" t="str">
        <f>"Food"&amp;"Recycling"&amp;C309</f>
        <v>FoodRecyclingOMC64EOW</v>
      </c>
      <c r="B309" s="241" t="str">
        <f>"Vanc"&amp;"Commercial"&amp;C309</f>
        <v>VancCommercialOMC64EOW</v>
      </c>
      <c r="C309" s="253" t="s">
        <v>1236</v>
      </c>
      <c r="D309" s="253" t="s">
        <v>1237</v>
      </c>
      <c r="E309" s="238">
        <v>9.8000000000000007</v>
      </c>
      <c r="F309" s="238">
        <v>9.8000000000000007</v>
      </c>
      <c r="G309" s="238">
        <v>9.8000000000000007</v>
      </c>
      <c r="I309" s="243">
        <v>78.400000000000006</v>
      </c>
      <c r="J309" s="243">
        <v>78.400000000000006</v>
      </c>
      <c r="K309" s="243">
        <v>78.400000000000006</v>
      </c>
      <c r="L309" s="243">
        <v>88.2</v>
      </c>
      <c r="M309" s="243">
        <v>83.3</v>
      </c>
      <c r="N309" s="243">
        <v>93.1</v>
      </c>
      <c r="O309" s="243">
        <v>98</v>
      </c>
      <c r="P309" s="243">
        <v>107.8</v>
      </c>
      <c r="Q309" s="243">
        <v>117.6</v>
      </c>
      <c r="R309" s="243">
        <v>114.04</v>
      </c>
      <c r="S309" s="243">
        <v>123.84</v>
      </c>
      <c r="T309" s="243">
        <v>123.84</v>
      </c>
      <c r="U309" s="263">
        <f t="shared" si="157"/>
        <v>1184.9199999999998</v>
      </c>
      <c r="W309" s="264">
        <f t="shared" si="158"/>
        <v>8</v>
      </c>
      <c r="X309" s="264">
        <f t="shared" si="159"/>
        <v>8</v>
      </c>
      <c r="Y309" s="264">
        <f t="shared" si="160"/>
        <v>8</v>
      </c>
      <c r="Z309" s="264">
        <f t="shared" si="161"/>
        <v>9</v>
      </c>
      <c r="AA309" s="264">
        <f t="shared" si="162"/>
        <v>8.4999999999999982</v>
      </c>
      <c r="AB309" s="264">
        <f t="shared" si="163"/>
        <v>9.4999999999999982</v>
      </c>
      <c r="AC309" s="264">
        <f t="shared" si="164"/>
        <v>10</v>
      </c>
      <c r="AD309" s="264">
        <f t="shared" si="165"/>
        <v>10.999999999999998</v>
      </c>
      <c r="AE309" s="264">
        <f t="shared" si="166"/>
        <v>11.999999999999998</v>
      </c>
      <c r="AF309" s="264">
        <f t="shared" si="167"/>
        <v>11.636734693877552</v>
      </c>
      <c r="AG309" s="264">
        <f t="shared" si="168"/>
        <v>12.63673469387755</v>
      </c>
      <c r="AH309" s="264">
        <f t="shared" si="169"/>
        <v>12.63673469387755</v>
      </c>
      <c r="AI309" s="265">
        <f>+IFERROR(AVERAGE(W309:AH309),0)</f>
        <v>10.075850340136055</v>
      </c>
      <c r="AJ309" s="266">
        <f t="shared" si="178"/>
        <v>120.91020408163266</v>
      </c>
      <c r="AK309" s="262"/>
      <c r="AN309" s="241">
        <v>1</v>
      </c>
      <c r="AO309" s="240">
        <f t="shared" si="179"/>
        <v>10.075850340136055</v>
      </c>
      <c r="AP309" s="241">
        <v>0</v>
      </c>
      <c r="AQ309" s="240">
        <f t="shared" si="180"/>
        <v>0</v>
      </c>
      <c r="AR309" s="241">
        <v>0</v>
      </c>
      <c r="AS309" s="240">
        <f t="shared" si="181"/>
        <v>0</v>
      </c>
      <c r="AT309" s="241">
        <v>0</v>
      </c>
      <c r="AU309" s="240">
        <f t="shared" si="174"/>
        <v>0</v>
      </c>
    </row>
    <row r="310" spans="1:47" s="274" customFormat="1" ht="15" x14ac:dyDescent="0.25">
      <c r="A310" s="274" t="str">
        <f>"Food"&amp;"Recycling"&amp;C310</f>
        <v>FoodRecyclingOMC64WK</v>
      </c>
      <c r="B310" s="241" t="str">
        <f>"Vanc"&amp;"Commercial"&amp;C310</f>
        <v>VancCommercialOMC64WK</v>
      </c>
      <c r="C310" s="253" t="s">
        <v>1238</v>
      </c>
      <c r="D310" s="253" t="s">
        <v>1239</v>
      </c>
      <c r="E310" s="238">
        <v>19.600000000000001</v>
      </c>
      <c r="F310" s="238">
        <v>19.600000000000001</v>
      </c>
      <c r="G310" s="238">
        <v>19.600000000000001</v>
      </c>
      <c r="I310" s="243">
        <v>3792.6</v>
      </c>
      <c r="J310" s="243">
        <v>3508.4</v>
      </c>
      <c r="K310" s="243">
        <v>3488.8</v>
      </c>
      <c r="L310" s="243">
        <v>3503.5</v>
      </c>
      <c r="M310" s="243">
        <v>3591.7000000000003</v>
      </c>
      <c r="N310" s="243">
        <v>3547.6</v>
      </c>
      <c r="O310" s="243">
        <v>4630.5</v>
      </c>
      <c r="P310" s="243">
        <v>4694.2</v>
      </c>
      <c r="Q310" s="243">
        <v>4684.3999999999996</v>
      </c>
      <c r="R310" s="243">
        <v>4999.3600000000006</v>
      </c>
      <c r="S310" s="243">
        <v>5219.29</v>
      </c>
      <c r="T310" s="243">
        <v>5296.88</v>
      </c>
      <c r="U310" s="263">
        <f t="shared" si="157"/>
        <v>50957.229999999996</v>
      </c>
      <c r="W310" s="264">
        <f t="shared" si="158"/>
        <v>193.49999999999997</v>
      </c>
      <c r="X310" s="264">
        <f t="shared" si="159"/>
        <v>179</v>
      </c>
      <c r="Y310" s="264">
        <f t="shared" si="160"/>
        <v>178</v>
      </c>
      <c r="Z310" s="264">
        <f t="shared" si="161"/>
        <v>178.75</v>
      </c>
      <c r="AA310" s="264">
        <f t="shared" si="162"/>
        <v>183.25</v>
      </c>
      <c r="AB310" s="264">
        <f t="shared" si="163"/>
        <v>180.99999999999997</v>
      </c>
      <c r="AC310" s="264">
        <f t="shared" si="164"/>
        <v>236.24999999999997</v>
      </c>
      <c r="AD310" s="264">
        <f t="shared" si="165"/>
        <v>239.49999999999997</v>
      </c>
      <c r="AE310" s="264">
        <f t="shared" si="166"/>
        <v>238.99999999999997</v>
      </c>
      <c r="AF310" s="264">
        <f t="shared" si="167"/>
        <v>255.06938775510204</v>
      </c>
      <c r="AG310" s="264">
        <f t="shared" si="168"/>
        <v>266.29030612244895</v>
      </c>
      <c r="AH310" s="264">
        <f t="shared" si="169"/>
        <v>270.2489795918367</v>
      </c>
      <c r="AI310" s="265">
        <f>+IFERROR(AVERAGE(W310:AH310),0)</f>
        <v>216.6548894557823</v>
      </c>
      <c r="AJ310" s="266">
        <f t="shared" si="178"/>
        <v>2599.8586734693877</v>
      </c>
      <c r="AK310" s="262"/>
      <c r="AN310" s="241">
        <v>1</v>
      </c>
      <c r="AO310" s="240">
        <f t="shared" si="179"/>
        <v>216.6548894557823</v>
      </c>
      <c r="AP310" s="241">
        <v>0</v>
      </c>
      <c r="AQ310" s="240">
        <f t="shared" si="180"/>
        <v>0</v>
      </c>
      <c r="AR310" s="241">
        <v>0</v>
      </c>
      <c r="AS310" s="240">
        <f t="shared" si="181"/>
        <v>0</v>
      </c>
      <c r="AT310" s="241">
        <v>0</v>
      </c>
      <c r="AU310" s="240">
        <f t="shared" si="174"/>
        <v>0</v>
      </c>
    </row>
    <row r="311" spans="1:47" s="274" customFormat="1" ht="15" x14ac:dyDescent="0.25">
      <c r="A311" s="274" t="str">
        <f t="shared" si="175"/>
        <v>allRecyclingCRY901X2</v>
      </c>
      <c r="B311" s="241" t="str">
        <f t="shared" si="176"/>
        <v>VancRecyclingCRY901X2</v>
      </c>
      <c r="C311" s="232" t="s">
        <v>494</v>
      </c>
      <c r="D311" s="232" t="s">
        <v>577</v>
      </c>
      <c r="E311" s="238">
        <v>104.57</v>
      </c>
      <c r="F311" s="238">
        <v>109.79999999999998</v>
      </c>
      <c r="G311" s="238">
        <v>109.79999999999998</v>
      </c>
      <c r="I311" s="243">
        <v>209.14</v>
      </c>
      <c r="J311" s="243">
        <v>209.14</v>
      </c>
      <c r="K311" s="243">
        <v>209.14</v>
      </c>
      <c r="L311" s="243">
        <v>219.6</v>
      </c>
      <c r="M311" s="243">
        <v>219.6</v>
      </c>
      <c r="N311" s="243">
        <v>219.6</v>
      </c>
      <c r="O311" s="243">
        <v>329.4</v>
      </c>
      <c r="P311" s="243">
        <v>329.4</v>
      </c>
      <c r="Q311" s="243">
        <v>329.4</v>
      </c>
      <c r="R311" s="243">
        <v>329.4</v>
      </c>
      <c r="S311" s="243">
        <v>329.4</v>
      </c>
      <c r="T311" s="243">
        <v>329.4</v>
      </c>
      <c r="U311" s="263">
        <f t="shared" si="157"/>
        <v>3262.6200000000003</v>
      </c>
      <c r="W311" s="264">
        <f t="shared" si="158"/>
        <v>2</v>
      </c>
      <c r="X311" s="264">
        <f t="shared" si="159"/>
        <v>2</v>
      </c>
      <c r="Y311" s="264">
        <f t="shared" si="160"/>
        <v>2</v>
      </c>
      <c r="Z311" s="264">
        <f t="shared" si="161"/>
        <v>2.0000000000000004</v>
      </c>
      <c r="AA311" s="264">
        <f t="shared" si="162"/>
        <v>2.0000000000000004</v>
      </c>
      <c r="AB311" s="264">
        <f t="shared" si="163"/>
        <v>2.0000000000000004</v>
      </c>
      <c r="AC311" s="264">
        <f t="shared" si="164"/>
        <v>3.0000000000000004</v>
      </c>
      <c r="AD311" s="264">
        <f t="shared" si="165"/>
        <v>3.0000000000000004</v>
      </c>
      <c r="AE311" s="264">
        <f t="shared" si="166"/>
        <v>3.0000000000000004</v>
      </c>
      <c r="AF311" s="264">
        <f t="shared" si="167"/>
        <v>3.0000000000000004</v>
      </c>
      <c r="AG311" s="264">
        <f t="shared" si="168"/>
        <v>3.0000000000000004</v>
      </c>
      <c r="AH311" s="264">
        <f t="shared" si="169"/>
        <v>3.0000000000000004</v>
      </c>
      <c r="AI311" s="265">
        <f t="shared" si="177"/>
        <v>2.5</v>
      </c>
      <c r="AJ311" s="266">
        <f t="shared" si="178"/>
        <v>30</v>
      </c>
      <c r="AK311" s="262"/>
      <c r="AN311" s="241">
        <v>2</v>
      </c>
      <c r="AO311" s="240">
        <f t="shared" si="179"/>
        <v>5</v>
      </c>
      <c r="AP311" s="241">
        <v>0</v>
      </c>
      <c r="AQ311" s="240">
        <f t="shared" si="180"/>
        <v>0</v>
      </c>
      <c r="AR311" s="241">
        <v>0</v>
      </c>
      <c r="AS311" s="240">
        <f t="shared" si="181"/>
        <v>0</v>
      </c>
      <c r="AT311" s="241">
        <v>0</v>
      </c>
      <c r="AU311" s="240">
        <f t="shared" si="174"/>
        <v>0</v>
      </c>
    </row>
    <row r="312" spans="1:47" s="274" customFormat="1" ht="15" x14ac:dyDescent="0.25">
      <c r="A312" s="274" t="str">
        <f t="shared" si="175"/>
        <v>allRecyclingCRY902X2</v>
      </c>
      <c r="B312" s="241" t="str">
        <f t="shared" si="176"/>
        <v>VancRecyclingCRY902X2</v>
      </c>
      <c r="C312" s="232" t="s">
        <v>1068</v>
      </c>
      <c r="D312" s="232" t="s">
        <v>1069</v>
      </c>
      <c r="E312" s="238">
        <v>208.96</v>
      </c>
      <c r="F312" s="238">
        <v>219.41000000000003</v>
      </c>
      <c r="G312" s="238">
        <v>219.41000000000003</v>
      </c>
      <c r="I312" s="243">
        <v>208.96</v>
      </c>
      <c r="J312" s="243">
        <v>208.96</v>
      </c>
      <c r="K312" s="243">
        <v>208.96</v>
      </c>
      <c r="L312" s="243">
        <v>219.41</v>
      </c>
      <c r="M312" s="243">
        <v>219.41</v>
      </c>
      <c r="N312" s="243">
        <v>219.41</v>
      </c>
      <c r="O312" s="243">
        <v>219.41</v>
      </c>
      <c r="P312" s="243">
        <v>219.41</v>
      </c>
      <c r="Q312" s="243">
        <v>219.41</v>
      </c>
      <c r="R312" s="243">
        <v>219.41</v>
      </c>
      <c r="S312" s="243">
        <v>219.41</v>
      </c>
      <c r="T312" s="243">
        <v>219.41</v>
      </c>
      <c r="U312" s="263">
        <f t="shared" si="157"/>
        <v>2601.5700000000002</v>
      </c>
      <c r="W312" s="264">
        <f t="shared" si="158"/>
        <v>1</v>
      </c>
      <c r="X312" s="264">
        <f t="shared" si="159"/>
        <v>1</v>
      </c>
      <c r="Y312" s="264">
        <f t="shared" si="160"/>
        <v>1</v>
      </c>
      <c r="Z312" s="264">
        <f t="shared" si="161"/>
        <v>0.99999999999999989</v>
      </c>
      <c r="AA312" s="264">
        <f t="shared" si="162"/>
        <v>0.99999999999999989</v>
      </c>
      <c r="AB312" s="264">
        <f t="shared" si="163"/>
        <v>0.99999999999999989</v>
      </c>
      <c r="AC312" s="264">
        <f t="shared" si="164"/>
        <v>0.99999999999999989</v>
      </c>
      <c r="AD312" s="264">
        <f t="shared" si="165"/>
        <v>0.99999999999999989</v>
      </c>
      <c r="AE312" s="264">
        <f t="shared" si="166"/>
        <v>0.99999999999999989</v>
      </c>
      <c r="AF312" s="264">
        <f t="shared" si="167"/>
        <v>0.99999999999999989</v>
      </c>
      <c r="AG312" s="264">
        <f t="shared" si="168"/>
        <v>0.99999999999999989</v>
      </c>
      <c r="AH312" s="264">
        <f t="shared" si="169"/>
        <v>0.99999999999999989</v>
      </c>
      <c r="AI312" s="265">
        <f t="shared" si="177"/>
        <v>1</v>
      </c>
      <c r="AJ312" s="266">
        <f t="shared" si="178"/>
        <v>12</v>
      </c>
      <c r="AK312" s="262"/>
      <c r="AN312" s="241">
        <v>2</v>
      </c>
      <c r="AO312" s="240">
        <f t="shared" si="179"/>
        <v>2</v>
      </c>
      <c r="AP312" s="241">
        <v>0</v>
      </c>
      <c r="AQ312" s="240">
        <f t="shared" si="180"/>
        <v>0</v>
      </c>
      <c r="AR312" s="241">
        <v>0</v>
      </c>
      <c r="AS312" s="240">
        <f t="shared" si="181"/>
        <v>0</v>
      </c>
      <c r="AT312" s="241">
        <v>0</v>
      </c>
      <c r="AU312" s="240">
        <f t="shared" si="174"/>
        <v>0</v>
      </c>
    </row>
    <row r="313" spans="1:47" s="274" customFormat="1" ht="15" x14ac:dyDescent="0.25">
      <c r="A313" s="274" t="str">
        <f t="shared" si="175"/>
        <v>allRecyclingCRY901X</v>
      </c>
      <c r="B313" s="241" t="str">
        <f t="shared" si="176"/>
        <v>VancRecyclingCRY901X</v>
      </c>
      <c r="C313" s="232" t="s">
        <v>490</v>
      </c>
      <c r="D313" s="232" t="s">
        <v>573</v>
      </c>
      <c r="E313" s="238">
        <v>93.21</v>
      </c>
      <c r="F313" s="238">
        <v>97.86999999999999</v>
      </c>
      <c r="G313" s="238">
        <v>97.86999999999999</v>
      </c>
      <c r="I313" s="243">
        <v>2905.16</v>
      </c>
      <c r="J313" s="243">
        <v>2905.16</v>
      </c>
      <c r="K313" s="243">
        <v>2905.16</v>
      </c>
      <c r="L313" s="243">
        <v>2948.51</v>
      </c>
      <c r="M313" s="243">
        <v>2948.51</v>
      </c>
      <c r="N313" s="243">
        <v>2948.51</v>
      </c>
      <c r="O313" s="243">
        <v>3046.38</v>
      </c>
      <c r="P313" s="243">
        <v>3046.38</v>
      </c>
      <c r="Q313" s="243">
        <v>3046.38</v>
      </c>
      <c r="R313" s="243">
        <v>3048.29</v>
      </c>
      <c r="S313" s="243">
        <v>3048.29</v>
      </c>
      <c r="T313" s="243">
        <v>3048.29</v>
      </c>
      <c r="U313" s="263">
        <f t="shared" si="157"/>
        <v>35845.020000000004</v>
      </c>
      <c r="W313" s="264">
        <f t="shared" si="158"/>
        <v>31.167900439866969</v>
      </c>
      <c r="X313" s="264">
        <f t="shared" si="159"/>
        <v>31.167900439866969</v>
      </c>
      <c r="Y313" s="264">
        <f t="shared" si="160"/>
        <v>31.167900439866969</v>
      </c>
      <c r="Z313" s="264">
        <f t="shared" si="161"/>
        <v>30.126800858281399</v>
      </c>
      <c r="AA313" s="264">
        <f t="shared" si="162"/>
        <v>30.126800858281399</v>
      </c>
      <c r="AB313" s="264">
        <f t="shared" si="163"/>
        <v>30.126800858281399</v>
      </c>
      <c r="AC313" s="264">
        <f t="shared" si="164"/>
        <v>31.126800858281399</v>
      </c>
      <c r="AD313" s="264">
        <f t="shared" si="165"/>
        <v>31.126800858281399</v>
      </c>
      <c r="AE313" s="264">
        <f t="shared" si="166"/>
        <v>31.126800858281399</v>
      </c>
      <c r="AF313" s="264">
        <f t="shared" si="167"/>
        <v>31.146316542352103</v>
      </c>
      <c r="AG313" s="264">
        <f t="shared" si="168"/>
        <v>31.146316542352103</v>
      </c>
      <c r="AH313" s="264">
        <f t="shared" si="169"/>
        <v>31.146316542352103</v>
      </c>
      <c r="AI313" s="265">
        <f t="shared" si="177"/>
        <v>30.891954674695469</v>
      </c>
      <c r="AJ313" s="266">
        <f t="shared" si="178"/>
        <v>370.70345609634563</v>
      </c>
      <c r="AK313" s="262"/>
      <c r="AN313" s="241">
        <v>1</v>
      </c>
      <c r="AO313" s="240">
        <f t="shared" si="179"/>
        <v>30.891954674695469</v>
      </c>
      <c r="AP313" s="241">
        <v>0</v>
      </c>
      <c r="AQ313" s="240">
        <f t="shared" si="180"/>
        <v>0</v>
      </c>
      <c r="AR313" s="241">
        <v>0</v>
      </c>
      <c r="AS313" s="240">
        <f t="shared" si="181"/>
        <v>0</v>
      </c>
      <c r="AT313" s="241">
        <v>0</v>
      </c>
      <c r="AU313" s="240">
        <f t="shared" si="174"/>
        <v>0</v>
      </c>
    </row>
    <row r="314" spans="1:47" s="274" customFormat="1" ht="15" x14ac:dyDescent="0.25">
      <c r="A314" s="274" t="str">
        <f t="shared" si="175"/>
        <v>allRecyclingCRY902X</v>
      </c>
      <c r="B314" s="241" t="str">
        <f>"Vanc"&amp;"Recycling"&amp;C314</f>
        <v>VancRecyclingCRY902X</v>
      </c>
      <c r="C314" s="232" t="s">
        <v>491</v>
      </c>
      <c r="D314" s="232" t="s">
        <v>574</v>
      </c>
      <c r="E314" s="238">
        <v>175.95</v>
      </c>
      <c r="F314" s="238">
        <v>184.75</v>
      </c>
      <c r="G314" s="238">
        <v>184.75</v>
      </c>
      <c r="I314" s="243">
        <v>351.9</v>
      </c>
      <c r="J314" s="243">
        <v>351.9</v>
      </c>
      <c r="K314" s="243">
        <v>351.9</v>
      </c>
      <c r="L314" s="243">
        <v>369.5</v>
      </c>
      <c r="M314" s="243">
        <v>369.5</v>
      </c>
      <c r="N314" s="243">
        <v>369.5</v>
      </c>
      <c r="O314" s="243">
        <v>369.5</v>
      </c>
      <c r="P314" s="243">
        <v>369.5</v>
      </c>
      <c r="Q314" s="243">
        <v>369.5</v>
      </c>
      <c r="R314" s="243">
        <v>369.5</v>
      </c>
      <c r="S314" s="243">
        <v>184.75</v>
      </c>
      <c r="T314" s="243">
        <v>184.75</v>
      </c>
      <c r="U314" s="263">
        <f t="shared" si="157"/>
        <v>4011.7</v>
      </c>
      <c r="W314" s="264">
        <f t="shared" si="158"/>
        <v>2</v>
      </c>
      <c r="X314" s="264">
        <f t="shared" si="159"/>
        <v>2</v>
      </c>
      <c r="Y314" s="264">
        <f t="shared" si="160"/>
        <v>2</v>
      </c>
      <c r="Z314" s="264">
        <f t="shared" si="161"/>
        <v>2</v>
      </c>
      <c r="AA314" s="264">
        <f t="shared" si="162"/>
        <v>2</v>
      </c>
      <c r="AB314" s="264">
        <f t="shared" si="163"/>
        <v>2</v>
      </c>
      <c r="AC314" s="264">
        <f t="shared" si="164"/>
        <v>2</v>
      </c>
      <c r="AD314" s="264">
        <f t="shared" si="165"/>
        <v>2</v>
      </c>
      <c r="AE314" s="264">
        <f t="shared" si="166"/>
        <v>2</v>
      </c>
      <c r="AF314" s="264">
        <f t="shared" si="167"/>
        <v>2</v>
      </c>
      <c r="AG314" s="264">
        <f t="shared" si="168"/>
        <v>1</v>
      </c>
      <c r="AH314" s="264">
        <f t="shared" si="169"/>
        <v>1</v>
      </c>
      <c r="AI314" s="265">
        <f t="shared" si="177"/>
        <v>1.8333333333333333</v>
      </c>
      <c r="AJ314" s="266">
        <f t="shared" si="178"/>
        <v>22</v>
      </c>
      <c r="AK314" s="262"/>
      <c r="AN314" s="241">
        <v>1</v>
      </c>
      <c r="AO314" s="240">
        <f t="shared" si="179"/>
        <v>1.8333333333333333</v>
      </c>
      <c r="AP314" s="241">
        <v>0</v>
      </c>
      <c r="AQ314" s="240">
        <f t="shared" si="180"/>
        <v>0</v>
      </c>
      <c r="AR314" s="241">
        <v>0</v>
      </c>
      <c r="AS314" s="240">
        <f t="shared" si="181"/>
        <v>0</v>
      </c>
      <c r="AT314" s="241">
        <v>0</v>
      </c>
      <c r="AU314" s="240">
        <f t="shared" si="174"/>
        <v>0</v>
      </c>
    </row>
    <row r="315" spans="1:47" s="274" customFormat="1" ht="15" x14ac:dyDescent="0.25">
      <c r="A315" s="274" t="str">
        <f t="shared" si="175"/>
        <v>allRecyclingCRY901X3</v>
      </c>
      <c r="B315" s="241" t="str">
        <f t="shared" si="176"/>
        <v>VancRecyclingCRY901X3</v>
      </c>
      <c r="C315" s="232" t="s">
        <v>493</v>
      </c>
      <c r="D315" s="232" t="s">
        <v>576</v>
      </c>
      <c r="E315" s="238">
        <v>127.58</v>
      </c>
      <c r="F315" s="238">
        <v>133.96</v>
      </c>
      <c r="G315" s="238">
        <v>133.96</v>
      </c>
      <c r="I315" s="243">
        <v>890.26</v>
      </c>
      <c r="J315" s="243">
        <v>890.26</v>
      </c>
      <c r="K315" s="243">
        <v>890.26</v>
      </c>
      <c r="L315" s="243">
        <v>934.75</v>
      </c>
      <c r="M315" s="243">
        <v>934.75</v>
      </c>
      <c r="N315" s="243">
        <v>934.75</v>
      </c>
      <c r="O315" s="243">
        <v>968.24</v>
      </c>
      <c r="P315" s="243">
        <v>1068.71</v>
      </c>
      <c r="Q315" s="243">
        <v>1068.71</v>
      </c>
      <c r="R315" s="243">
        <v>1068.71</v>
      </c>
      <c r="S315" s="243">
        <v>1068.71</v>
      </c>
      <c r="T315" s="243">
        <v>1068.71</v>
      </c>
      <c r="U315" s="263">
        <f t="shared" si="157"/>
        <v>11786.819999999996</v>
      </c>
      <c r="W315" s="264">
        <f t="shared" si="158"/>
        <v>6.9780529863614991</v>
      </c>
      <c r="X315" s="264">
        <f t="shared" si="159"/>
        <v>6.9780529863614991</v>
      </c>
      <c r="Y315" s="264">
        <f t="shared" si="160"/>
        <v>6.9780529863614991</v>
      </c>
      <c r="Z315" s="264">
        <f t="shared" si="161"/>
        <v>6.9778292027470883</v>
      </c>
      <c r="AA315" s="264">
        <f t="shared" si="162"/>
        <v>6.9778292027470883</v>
      </c>
      <c r="AB315" s="264">
        <f t="shared" si="163"/>
        <v>6.9778292027470883</v>
      </c>
      <c r="AC315" s="264">
        <f t="shared" si="164"/>
        <v>7.2278292027470883</v>
      </c>
      <c r="AD315" s="264">
        <f t="shared" si="165"/>
        <v>7.9778292027470883</v>
      </c>
      <c r="AE315" s="264">
        <f t="shared" si="166"/>
        <v>7.9778292027470883</v>
      </c>
      <c r="AF315" s="264">
        <f t="shared" si="167"/>
        <v>7.9778292027470883</v>
      </c>
      <c r="AG315" s="264">
        <f t="shared" si="168"/>
        <v>7.9778292027470883</v>
      </c>
      <c r="AH315" s="264">
        <f t="shared" si="169"/>
        <v>7.9778292027470883</v>
      </c>
      <c r="AI315" s="265">
        <f t="shared" si="177"/>
        <v>7.4153851486506914</v>
      </c>
      <c r="AJ315" s="266">
        <f t="shared" si="178"/>
        <v>88.984621783808294</v>
      </c>
      <c r="AK315" s="262"/>
      <c r="AN315" s="241">
        <v>3</v>
      </c>
      <c r="AO315" s="240">
        <f t="shared" si="179"/>
        <v>22.246155445952073</v>
      </c>
      <c r="AP315" s="241">
        <v>0</v>
      </c>
      <c r="AQ315" s="240">
        <f t="shared" si="180"/>
        <v>0</v>
      </c>
      <c r="AR315" s="241">
        <v>0</v>
      </c>
      <c r="AS315" s="240">
        <f t="shared" si="181"/>
        <v>0</v>
      </c>
      <c r="AT315" s="241">
        <v>0</v>
      </c>
      <c r="AU315" s="240">
        <f t="shared" si="174"/>
        <v>0</v>
      </c>
    </row>
    <row r="316" spans="1:47" s="274" customFormat="1" ht="15" x14ac:dyDescent="0.25">
      <c r="A316" s="274" t="str">
        <f>"all"&amp;"Recycling"&amp;C316</f>
        <v>allRecyclingVRYCOV</v>
      </c>
      <c r="B316" s="241" t="str">
        <f>"Vanc"&amp;"Recycling"&amp;C316</f>
        <v>VancRecyclingVRYCOV</v>
      </c>
      <c r="C316" s="232" t="s">
        <v>1250</v>
      </c>
      <c r="D316" s="232" t="s">
        <v>1251</v>
      </c>
      <c r="E316" s="238">
        <v>15</v>
      </c>
      <c r="F316" s="238">
        <v>15</v>
      </c>
      <c r="G316" s="238">
        <v>15</v>
      </c>
      <c r="I316" s="243">
        <v>21090</v>
      </c>
      <c r="J316" s="243">
        <v>21045</v>
      </c>
      <c r="K316" s="243">
        <v>21045</v>
      </c>
      <c r="L316" s="243">
        <v>21765</v>
      </c>
      <c r="M316" s="243">
        <v>21765</v>
      </c>
      <c r="N316" s="243">
        <v>21015</v>
      </c>
      <c r="O316" s="243">
        <v>21045</v>
      </c>
      <c r="P316" s="243">
        <v>21060</v>
      </c>
      <c r="Q316" s="243">
        <v>21120</v>
      </c>
      <c r="R316" s="243">
        <v>21195</v>
      </c>
      <c r="S316" s="243">
        <v>21105</v>
      </c>
      <c r="T316" s="243">
        <v>21135</v>
      </c>
      <c r="U316" s="263">
        <f t="shared" si="157"/>
        <v>254385</v>
      </c>
      <c r="W316" s="264">
        <f t="shared" si="158"/>
        <v>1406</v>
      </c>
      <c r="X316" s="264">
        <f t="shared" si="159"/>
        <v>1403</v>
      </c>
      <c r="Y316" s="264">
        <f t="shared" si="160"/>
        <v>1403</v>
      </c>
      <c r="Z316" s="264">
        <f t="shared" si="161"/>
        <v>1451</v>
      </c>
      <c r="AA316" s="264">
        <f t="shared" si="162"/>
        <v>1451</v>
      </c>
      <c r="AB316" s="264">
        <f t="shared" si="163"/>
        <v>1401</v>
      </c>
      <c r="AC316" s="264">
        <f t="shared" si="164"/>
        <v>1403</v>
      </c>
      <c r="AD316" s="264">
        <f t="shared" si="165"/>
        <v>1404</v>
      </c>
      <c r="AE316" s="264">
        <f t="shared" si="166"/>
        <v>1408</v>
      </c>
      <c r="AF316" s="264">
        <f t="shared" si="167"/>
        <v>1413</v>
      </c>
      <c r="AG316" s="264">
        <f t="shared" si="168"/>
        <v>1407</v>
      </c>
      <c r="AH316" s="264">
        <f t="shared" si="169"/>
        <v>1409</v>
      </c>
      <c r="AI316" s="265">
        <f>+IFERROR(AVERAGE(W316:AH316),0)</f>
        <v>1413.25</v>
      </c>
      <c r="AJ316" s="266">
        <f t="shared" si="178"/>
        <v>16959</v>
      </c>
      <c r="AK316" s="262"/>
      <c r="AN316" s="241">
        <v>0</v>
      </c>
      <c r="AO316" s="240">
        <f t="shared" si="179"/>
        <v>0</v>
      </c>
      <c r="AP316" s="241">
        <v>0</v>
      </c>
      <c r="AQ316" s="240">
        <f t="shared" si="180"/>
        <v>0</v>
      </c>
      <c r="AR316" s="241">
        <v>0</v>
      </c>
      <c r="AS316" s="240">
        <f t="shared" si="181"/>
        <v>0</v>
      </c>
      <c r="AT316" s="241">
        <v>1</v>
      </c>
      <c r="AU316" s="240">
        <f t="shared" si="174"/>
        <v>1413.25</v>
      </c>
    </row>
    <row r="317" spans="1:47" s="274" customFormat="1" ht="15" x14ac:dyDescent="0.25">
      <c r="A317" s="274" t="str">
        <f>"all"&amp;"Recycling"&amp;C317</f>
        <v>allRecyclingVRYRPS</v>
      </c>
      <c r="B317" s="241" t="str">
        <f>"Vanc"&amp;"Recycling"&amp;C317</f>
        <v>VancRecyclingVRYRPS</v>
      </c>
      <c r="C317" s="232" t="s">
        <v>1252</v>
      </c>
      <c r="D317" s="232" t="s">
        <v>1253</v>
      </c>
      <c r="E317" s="238">
        <v>11</v>
      </c>
      <c r="F317" s="238">
        <v>11</v>
      </c>
      <c r="G317" s="238">
        <v>11</v>
      </c>
      <c r="I317" s="243">
        <v>15892.53</v>
      </c>
      <c r="J317" s="243">
        <v>16021.5</v>
      </c>
      <c r="K317" s="243">
        <v>16027</v>
      </c>
      <c r="L317" s="243">
        <v>15983</v>
      </c>
      <c r="M317" s="243">
        <v>15947.25</v>
      </c>
      <c r="N317" s="243">
        <v>15955.5</v>
      </c>
      <c r="O317" s="243">
        <v>15862</v>
      </c>
      <c r="P317" s="243">
        <v>16057.25</v>
      </c>
      <c r="Q317" s="243">
        <v>16112.07</v>
      </c>
      <c r="R317" s="243">
        <v>16016</v>
      </c>
      <c r="S317" s="243">
        <v>16018.91</v>
      </c>
      <c r="T317" s="243">
        <v>16035.25</v>
      </c>
      <c r="U317" s="263">
        <f t="shared" si="157"/>
        <v>191928.26</v>
      </c>
      <c r="W317" s="264">
        <f t="shared" si="158"/>
        <v>1444.7754545454545</v>
      </c>
      <c r="X317" s="264">
        <f t="shared" si="159"/>
        <v>1456.5</v>
      </c>
      <c r="Y317" s="264">
        <f t="shared" si="160"/>
        <v>1457</v>
      </c>
      <c r="Z317" s="264">
        <f t="shared" si="161"/>
        <v>1453</v>
      </c>
      <c r="AA317" s="264">
        <f t="shared" si="162"/>
        <v>1449.75</v>
      </c>
      <c r="AB317" s="264">
        <f t="shared" si="163"/>
        <v>1450.5</v>
      </c>
      <c r="AC317" s="264">
        <f t="shared" si="164"/>
        <v>1442</v>
      </c>
      <c r="AD317" s="264">
        <f t="shared" si="165"/>
        <v>1459.75</v>
      </c>
      <c r="AE317" s="264">
        <f t="shared" si="166"/>
        <v>1464.7336363636364</v>
      </c>
      <c r="AF317" s="264">
        <f t="shared" si="167"/>
        <v>1456</v>
      </c>
      <c r="AG317" s="264">
        <f t="shared" si="168"/>
        <v>1456.2645454545454</v>
      </c>
      <c r="AH317" s="264">
        <f t="shared" si="169"/>
        <v>1457.75</v>
      </c>
      <c r="AI317" s="265">
        <f>+IFERROR(AVERAGE(W317:AH317),0)</f>
        <v>1454.0019696969696</v>
      </c>
      <c r="AJ317" s="266">
        <f t="shared" si="178"/>
        <v>17448.023636363636</v>
      </c>
      <c r="AK317" s="262"/>
      <c r="AN317" s="241">
        <v>0</v>
      </c>
      <c r="AO317" s="240">
        <f t="shared" si="179"/>
        <v>0</v>
      </c>
      <c r="AP317" s="241">
        <v>0</v>
      </c>
      <c r="AQ317" s="240">
        <f t="shared" si="180"/>
        <v>0</v>
      </c>
      <c r="AR317" s="241">
        <v>0</v>
      </c>
      <c r="AS317" s="240">
        <f t="shared" si="181"/>
        <v>0</v>
      </c>
      <c r="AT317" s="241">
        <v>1</v>
      </c>
      <c r="AU317" s="240">
        <f t="shared" ref="AU317:AU325" si="182">+$AI317*AT317</f>
        <v>1454.0019696969696</v>
      </c>
    </row>
    <row r="318" spans="1:47" s="274" customFormat="1" ht="15" x14ac:dyDescent="0.25">
      <c r="A318" s="274" t="str">
        <f>"all"&amp;"Recycling"&amp;C318</f>
        <v>allRecyclingCRY90EOW</v>
      </c>
      <c r="B318" s="241" t="str">
        <f>"Vanc"&amp;"Recycling"&amp;C318</f>
        <v>VancRecyclingCRY90EOW</v>
      </c>
      <c r="C318" s="232" t="s">
        <v>492</v>
      </c>
      <c r="D318" s="232" t="s">
        <v>575</v>
      </c>
      <c r="E318" s="238">
        <v>47.739999999999995</v>
      </c>
      <c r="F318" s="238">
        <v>50.13</v>
      </c>
      <c r="G318" s="238">
        <v>50.13</v>
      </c>
      <c r="I318" s="243">
        <v>477.4</v>
      </c>
      <c r="J318" s="243">
        <v>477.4</v>
      </c>
      <c r="K318" s="243">
        <v>525.14</v>
      </c>
      <c r="L318" s="243">
        <v>551.42999999999995</v>
      </c>
      <c r="M318" s="243">
        <v>551.42999999999995</v>
      </c>
      <c r="N318" s="243">
        <v>551.42999999999995</v>
      </c>
      <c r="O318" s="243">
        <v>551.42999999999995</v>
      </c>
      <c r="P318" s="243">
        <v>551.42999999999995</v>
      </c>
      <c r="Q318" s="243">
        <v>551.42999999999995</v>
      </c>
      <c r="R318" s="243">
        <v>551.42999999999995</v>
      </c>
      <c r="S318" s="243">
        <v>526.37</v>
      </c>
      <c r="T318" s="243">
        <v>451.17</v>
      </c>
      <c r="U318" s="263">
        <f>SUM(I318:T318)</f>
        <v>6317.49</v>
      </c>
      <c r="W318" s="264">
        <f t="shared" si="158"/>
        <v>10</v>
      </c>
      <c r="X318" s="264">
        <f t="shared" si="159"/>
        <v>10</v>
      </c>
      <c r="Y318" s="264">
        <f t="shared" si="160"/>
        <v>11.000000000000002</v>
      </c>
      <c r="Z318" s="264">
        <f t="shared" si="161"/>
        <v>10.999999999999998</v>
      </c>
      <c r="AA318" s="264">
        <f t="shared" si="162"/>
        <v>10.999999999999998</v>
      </c>
      <c r="AB318" s="264">
        <f t="shared" si="163"/>
        <v>10.999999999999998</v>
      </c>
      <c r="AC318" s="264">
        <f t="shared" si="164"/>
        <v>10.999999999999998</v>
      </c>
      <c r="AD318" s="264">
        <f t="shared" si="165"/>
        <v>10.999999999999998</v>
      </c>
      <c r="AE318" s="264">
        <f t="shared" si="166"/>
        <v>10.999999999999998</v>
      </c>
      <c r="AF318" s="264">
        <f t="shared" si="167"/>
        <v>10.999999999999998</v>
      </c>
      <c r="AG318" s="264">
        <f t="shared" si="168"/>
        <v>10.500099740674246</v>
      </c>
      <c r="AH318" s="264">
        <f t="shared" si="169"/>
        <v>9</v>
      </c>
      <c r="AI318" s="265">
        <f>+IFERROR(AVERAGE(W318:AH318),0)</f>
        <v>10.625008311722853</v>
      </c>
      <c r="AJ318" s="266">
        <f t="shared" si="178"/>
        <v>127.50009974067424</v>
      </c>
      <c r="AK318" s="262"/>
      <c r="AN318" s="241">
        <v>0</v>
      </c>
      <c r="AO318" s="240">
        <f t="shared" si="179"/>
        <v>0</v>
      </c>
      <c r="AP318" s="241">
        <v>1</v>
      </c>
      <c r="AQ318" s="240">
        <f t="shared" si="180"/>
        <v>10.625008311722853</v>
      </c>
      <c r="AR318" s="241">
        <v>0</v>
      </c>
      <c r="AS318" s="240">
        <f t="shared" si="181"/>
        <v>0</v>
      </c>
      <c r="AT318" s="241">
        <v>0</v>
      </c>
      <c r="AU318" s="240">
        <f>+$AI318*AT318</f>
        <v>0</v>
      </c>
    </row>
    <row r="319" spans="1:47" s="274" customFormat="1" ht="15" x14ac:dyDescent="0.25">
      <c r="A319" s="274" t="str">
        <f t="shared" si="175"/>
        <v>allRecyclingCRY90EOW3</v>
      </c>
      <c r="B319" s="241" t="str">
        <f t="shared" si="176"/>
        <v>VancRecyclingCRY90EOW3</v>
      </c>
      <c r="C319" s="232" t="s">
        <v>496</v>
      </c>
      <c r="D319" s="232" t="s">
        <v>579</v>
      </c>
      <c r="E319" s="238">
        <v>70.509999999999991</v>
      </c>
      <c r="F319" s="238">
        <v>74.040000000000006</v>
      </c>
      <c r="G319" s="238">
        <v>74.040000000000006</v>
      </c>
      <c r="I319" s="243">
        <v>0</v>
      </c>
      <c r="J319" s="243">
        <v>35.25</v>
      </c>
      <c r="K319" s="243">
        <v>70.510000000000005</v>
      </c>
      <c r="L319" s="243">
        <v>74.040000000000006</v>
      </c>
      <c r="M319" s="243">
        <v>74.040000000000006</v>
      </c>
      <c r="N319" s="243">
        <v>74.040000000000006</v>
      </c>
      <c r="O319" s="243">
        <v>74.040000000000006</v>
      </c>
      <c r="P319" s="243">
        <v>74.040000000000006</v>
      </c>
      <c r="Q319" s="243">
        <v>74.040000000000006</v>
      </c>
      <c r="R319" s="243">
        <v>74.040000000000006</v>
      </c>
      <c r="S319" s="243">
        <v>74.040000000000006</v>
      </c>
      <c r="T319" s="243">
        <v>74.040000000000006</v>
      </c>
      <c r="U319" s="263">
        <f t="shared" si="157"/>
        <v>772.12</v>
      </c>
      <c r="W319" s="264">
        <f t="shared" si="158"/>
        <v>0</v>
      </c>
      <c r="X319" s="264">
        <f t="shared" si="159"/>
        <v>0.49992908807261388</v>
      </c>
      <c r="Y319" s="264">
        <f t="shared" si="160"/>
        <v>1.0000000000000002</v>
      </c>
      <c r="Z319" s="264">
        <f t="shared" si="161"/>
        <v>1</v>
      </c>
      <c r="AA319" s="264">
        <f t="shared" si="162"/>
        <v>1</v>
      </c>
      <c r="AB319" s="264">
        <f t="shared" si="163"/>
        <v>1</v>
      </c>
      <c r="AC319" s="264">
        <f t="shared" si="164"/>
        <v>1</v>
      </c>
      <c r="AD319" s="264">
        <f t="shared" si="165"/>
        <v>1</v>
      </c>
      <c r="AE319" s="264">
        <f t="shared" si="166"/>
        <v>1</v>
      </c>
      <c r="AF319" s="264">
        <f t="shared" si="167"/>
        <v>1</v>
      </c>
      <c r="AG319" s="264">
        <f t="shared" si="168"/>
        <v>1</v>
      </c>
      <c r="AH319" s="264">
        <f t="shared" si="169"/>
        <v>1</v>
      </c>
      <c r="AI319" s="265">
        <f t="shared" si="177"/>
        <v>0.87499409067271783</v>
      </c>
      <c r="AJ319" s="266">
        <f t="shared" si="178"/>
        <v>10.499929088072614</v>
      </c>
      <c r="AK319" s="262"/>
      <c r="AN319" s="241">
        <v>0</v>
      </c>
      <c r="AO319" s="240">
        <f t="shared" si="179"/>
        <v>0</v>
      </c>
      <c r="AP319" s="241">
        <v>1</v>
      </c>
      <c r="AQ319" s="240">
        <f t="shared" si="180"/>
        <v>0.87499409067271783</v>
      </c>
      <c r="AR319" s="241">
        <v>0</v>
      </c>
      <c r="AS319" s="240">
        <f t="shared" si="181"/>
        <v>0</v>
      </c>
      <c r="AT319" s="241">
        <v>0</v>
      </c>
      <c r="AU319" s="240">
        <f t="shared" si="182"/>
        <v>0</v>
      </c>
    </row>
    <row r="320" spans="1:47" s="274" customFormat="1" ht="15" x14ac:dyDescent="0.25">
      <c r="A320" s="274" t="str">
        <f>"all"&amp;"Recycling"&amp;C320</f>
        <v>allRecyclingCRYGLASS1X</v>
      </c>
      <c r="B320" s="241" t="str">
        <f>"Vanc"&amp;"Recycling"&amp;C320</f>
        <v>VancRecyclingCRYGLASS1X</v>
      </c>
      <c r="C320" s="232" t="s">
        <v>497</v>
      </c>
      <c r="D320" s="232" t="s">
        <v>580</v>
      </c>
      <c r="E320" s="238">
        <v>31.83</v>
      </c>
      <c r="F320" s="238">
        <v>33.420000000000009</v>
      </c>
      <c r="G320" s="238">
        <v>33.420000000000009</v>
      </c>
      <c r="I320" s="243">
        <v>3126.9</v>
      </c>
      <c r="J320" s="243">
        <v>3126.9</v>
      </c>
      <c r="K320" s="243">
        <v>3095.07</v>
      </c>
      <c r="L320" s="243">
        <v>3221.46</v>
      </c>
      <c r="M320" s="243">
        <v>3280.35</v>
      </c>
      <c r="N320" s="243">
        <v>3280.35</v>
      </c>
      <c r="O320" s="243">
        <v>3280.35</v>
      </c>
      <c r="P320" s="243">
        <v>3297.07</v>
      </c>
      <c r="Q320" s="243">
        <v>3372.29</v>
      </c>
      <c r="R320" s="243">
        <v>3349.31</v>
      </c>
      <c r="S320" s="243">
        <v>3315.89</v>
      </c>
      <c r="T320" s="243">
        <v>3282.47</v>
      </c>
      <c r="U320" s="263">
        <f>SUM(I320:T320)</f>
        <v>39028.410000000003</v>
      </c>
      <c r="W320" s="264">
        <f t="shared" si="158"/>
        <v>98.23751178133837</v>
      </c>
      <c r="X320" s="264">
        <f t="shared" si="159"/>
        <v>98.23751178133837</v>
      </c>
      <c r="Y320" s="264">
        <f t="shared" si="160"/>
        <v>97.23751178133837</v>
      </c>
      <c r="Z320" s="264">
        <f t="shared" si="161"/>
        <v>96.393177737881487</v>
      </c>
      <c r="AA320" s="264">
        <f t="shared" si="162"/>
        <v>98.155296229802488</v>
      </c>
      <c r="AB320" s="264">
        <f t="shared" si="163"/>
        <v>98.155296229802488</v>
      </c>
      <c r="AC320" s="264">
        <f t="shared" si="164"/>
        <v>98.155296229802488</v>
      </c>
      <c r="AD320" s="264">
        <f t="shared" si="165"/>
        <v>98.655595451825235</v>
      </c>
      <c r="AE320" s="264">
        <f t="shared" si="166"/>
        <v>100.90634350688208</v>
      </c>
      <c r="AF320" s="264">
        <f t="shared" si="167"/>
        <v>100.21873129862355</v>
      </c>
      <c r="AG320" s="264">
        <f t="shared" si="168"/>
        <v>99.218731298623553</v>
      </c>
      <c r="AH320" s="264">
        <f t="shared" si="169"/>
        <v>98.218731298623553</v>
      </c>
      <c r="AI320" s="265">
        <f>+IFERROR(AVERAGE(W320:AH320),0)</f>
        <v>98.482477885490184</v>
      </c>
      <c r="AJ320" s="266">
        <f t="shared" si="178"/>
        <v>1181.7897346258821</v>
      </c>
      <c r="AK320" s="262"/>
      <c r="AN320" s="241">
        <v>1</v>
      </c>
      <c r="AO320" s="240">
        <f t="shared" si="179"/>
        <v>98.482477885490184</v>
      </c>
      <c r="AP320" s="241">
        <v>0</v>
      </c>
      <c r="AQ320" s="240">
        <f t="shared" si="180"/>
        <v>0</v>
      </c>
      <c r="AR320" s="241">
        <v>0</v>
      </c>
      <c r="AS320" s="240">
        <f t="shared" si="181"/>
        <v>0</v>
      </c>
      <c r="AT320" s="241">
        <v>0</v>
      </c>
      <c r="AU320" s="240">
        <f>+$AI320*AT320</f>
        <v>0</v>
      </c>
    </row>
    <row r="321" spans="1:47" s="274" customFormat="1" ht="15" x14ac:dyDescent="0.25">
      <c r="A321" s="274" t="str">
        <f>"all"&amp;"Recycling"&amp;C321</f>
        <v>allRecyclingCRY1YGLS1X</v>
      </c>
      <c r="B321" s="241" t="str">
        <f>"Vanc"&amp;"Recycling"&amp;C321</f>
        <v>VancRecyclingCRY1YGLS1X</v>
      </c>
      <c r="C321" s="232" t="s">
        <v>1121</v>
      </c>
      <c r="D321" s="232" t="s">
        <v>1122</v>
      </c>
      <c r="E321" s="238">
        <v>87.21</v>
      </c>
      <c r="F321" s="238">
        <v>91.57</v>
      </c>
      <c r="G321" s="238">
        <v>91.57</v>
      </c>
      <c r="I321" s="243">
        <v>753.17</v>
      </c>
      <c r="J321" s="243">
        <v>753.17</v>
      </c>
      <c r="K321" s="243">
        <v>753.17</v>
      </c>
      <c r="L321" s="243">
        <v>790.81</v>
      </c>
      <c r="M321" s="243">
        <v>790.81</v>
      </c>
      <c r="N321" s="243">
        <v>790.81</v>
      </c>
      <c r="O321" s="243">
        <v>790.81</v>
      </c>
      <c r="P321" s="243">
        <v>790.81</v>
      </c>
      <c r="Q321" s="243">
        <v>790.81</v>
      </c>
      <c r="R321" s="243">
        <v>790.81</v>
      </c>
      <c r="S321" s="243">
        <v>790.81</v>
      </c>
      <c r="T321" s="243">
        <v>790.81</v>
      </c>
      <c r="U321" s="263">
        <f>SUM(I321:T321)</f>
        <v>9376.7999999999975</v>
      </c>
      <c r="W321" s="264">
        <f t="shared" si="158"/>
        <v>8.6362802430913881</v>
      </c>
      <c r="X321" s="264">
        <f t="shared" si="159"/>
        <v>8.6362802430913881</v>
      </c>
      <c r="Y321" s="264">
        <f t="shared" si="160"/>
        <v>8.6362802430913881</v>
      </c>
      <c r="Z321" s="264">
        <f t="shared" si="161"/>
        <v>8.6361253685704931</v>
      </c>
      <c r="AA321" s="264">
        <f t="shared" si="162"/>
        <v>8.6361253685704931</v>
      </c>
      <c r="AB321" s="264">
        <f t="shared" si="163"/>
        <v>8.6361253685704931</v>
      </c>
      <c r="AC321" s="264">
        <f t="shared" si="164"/>
        <v>8.6361253685704931</v>
      </c>
      <c r="AD321" s="264">
        <f t="shared" si="165"/>
        <v>8.6361253685704931</v>
      </c>
      <c r="AE321" s="264">
        <f t="shared" si="166"/>
        <v>8.6361253685704931</v>
      </c>
      <c r="AF321" s="264">
        <f t="shared" si="167"/>
        <v>8.6361253685704931</v>
      </c>
      <c r="AG321" s="264">
        <f t="shared" si="168"/>
        <v>8.6361253685704931</v>
      </c>
      <c r="AH321" s="264">
        <f t="shared" si="169"/>
        <v>8.6361253685704931</v>
      </c>
      <c r="AI321" s="265">
        <f>+IFERROR(AVERAGE(W321:AH321),0)</f>
        <v>8.636164087200715</v>
      </c>
      <c r="AJ321" s="266">
        <f t="shared" si="178"/>
        <v>103.63396904640858</v>
      </c>
      <c r="AK321" s="262"/>
      <c r="AN321" s="241">
        <v>0</v>
      </c>
      <c r="AO321" s="240">
        <f t="shared" si="179"/>
        <v>0</v>
      </c>
      <c r="AP321" s="241">
        <v>1</v>
      </c>
      <c r="AQ321" s="240">
        <f t="shared" si="180"/>
        <v>8.636164087200715</v>
      </c>
      <c r="AR321" s="241">
        <v>0</v>
      </c>
      <c r="AS321" s="240">
        <f t="shared" si="181"/>
        <v>0</v>
      </c>
      <c r="AT321" s="241">
        <v>0</v>
      </c>
      <c r="AU321" s="240">
        <f>+$AI321*AT321</f>
        <v>0</v>
      </c>
    </row>
    <row r="322" spans="1:47" s="274" customFormat="1" ht="15" x14ac:dyDescent="0.25">
      <c r="A322" s="274" t="str">
        <f>"all"&amp;"Recycling"&amp;C322</f>
        <v>allRecyclingCRY902X3</v>
      </c>
      <c r="B322" s="241" t="str">
        <f>"Vanc"&amp;"Recycling"&amp;C322</f>
        <v>VancRecyclingCRY902X3</v>
      </c>
      <c r="C322" s="232" t="s">
        <v>1070</v>
      </c>
      <c r="D322" s="232" t="s">
        <v>1071</v>
      </c>
      <c r="E322" s="238">
        <v>246.33</v>
      </c>
      <c r="F322" s="238">
        <v>258.65000000000003</v>
      </c>
      <c r="G322" s="238">
        <v>258.65000000000003</v>
      </c>
      <c r="I322" s="243">
        <v>492.66</v>
      </c>
      <c r="J322" s="243">
        <v>492.66</v>
      </c>
      <c r="K322" s="243">
        <v>492.66</v>
      </c>
      <c r="L322" s="243">
        <v>517.29999999999995</v>
      </c>
      <c r="M322" s="243">
        <v>517.29999999999995</v>
      </c>
      <c r="N322" s="243">
        <v>517.29999999999995</v>
      </c>
      <c r="O322" s="243">
        <v>517.29999999999995</v>
      </c>
      <c r="P322" s="243">
        <v>517.29999999999995</v>
      </c>
      <c r="Q322" s="243">
        <v>517.29999999999995</v>
      </c>
      <c r="R322" s="243">
        <v>543.16</v>
      </c>
      <c r="S322" s="243">
        <v>543.16</v>
      </c>
      <c r="T322" s="243">
        <v>543.16</v>
      </c>
      <c r="U322" s="263">
        <f>SUM(I322:T322)</f>
        <v>6211.26</v>
      </c>
      <c r="W322" s="264">
        <f t="shared" si="158"/>
        <v>2</v>
      </c>
      <c r="X322" s="264">
        <f t="shared" si="159"/>
        <v>2</v>
      </c>
      <c r="Y322" s="264">
        <f t="shared" si="160"/>
        <v>2</v>
      </c>
      <c r="Z322" s="264">
        <f t="shared" si="161"/>
        <v>1.9999999999999996</v>
      </c>
      <c r="AA322" s="264">
        <f t="shared" si="162"/>
        <v>1.9999999999999996</v>
      </c>
      <c r="AB322" s="264">
        <f t="shared" si="163"/>
        <v>1.9999999999999996</v>
      </c>
      <c r="AC322" s="264">
        <f t="shared" si="164"/>
        <v>1.9999999999999996</v>
      </c>
      <c r="AD322" s="264">
        <f t="shared" si="165"/>
        <v>1.9999999999999996</v>
      </c>
      <c r="AE322" s="264">
        <f t="shared" si="166"/>
        <v>1.9999999999999996</v>
      </c>
      <c r="AF322" s="264">
        <f t="shared" si="167"/>
        <v>2.0999806688575289</v>
      </c>
      <c r="AG322" s="264">
        <f t="shared" si="168"/>
        <v>2.0999806688575289</v>
      </c>
      <c r="AH322" s="264">
        <f t="shared" si="169"/>
        <v>2.0999806688575289</v>
      </c>
      <c r="AI322" s="265">
        <f>+IFERROR(AVERAGE(W322:AH322),0)</f>
        <v>2.0249951672143824</v>
      </c>
      <c r="AJ322" s="266">
        <f t="shared" si="178"/>
        <v>24.299942006572589</v>
      </c>
      <c r="AK322" s="262"/>
    </row>
    <row r="323" spans="1:47" ht="15" x14ac:dyDescent="0.25">
      <c r="A323" s="40" t="str">
        <f>"all"&amp;"Recycling"&amp;C323</f>
        <v>allRecyclingCRYEXC</v>
      </c>
      <c r="B323" s="1" t="str">
        <f>"Vanc"&amp;"Recycling"&amp;C323</f>
        <v>VancRecyclingCRYEXC</v>
      </c>
      <c r="C323" s="58" t="s">
        <v>519</v>
      </c>
      <c r="D323" s="58" t="s">
        <v>600</v>
      </c>
      <c r="E323" s="11">
        <v>29.77</v>
      </c>
      <c r="F323" s="11">
        <v>31.259999999999998</v>
      </c>
      <c r="G323" s="11">
        <v>31.259999999999998</v>
      </c>
      <c r="I323" s="14">
        <v>4108.26</v>
      </c>
      <c r="J323" s="14">
        <v>4568.5200000000004</v>
      </c>
      <c r="K323" s="14">
        <v>3244.93</v>
      </c>
      <c r="L323" s="14">
        <v>3861.33</v>
      </c>
      <c r="M323" s="14">
        <v>3703.08</v>
      </c>
      <c r="N323" s="14">
        <v>3407.34</v>
      </c>
      <c r="O323" s="14">
        <v>3844.98</v>
      </c>
      <c r="P323" s="14">
        <v>2031.9</v>
      </c>
      <c r="Q323" s="14">
        <v>1969.38</v>
      </c>
      <c r="R323" s="14">
        <v>1250.4000000000001</v>
      </c>
      <c r="S323" s="14">
        <v>2532.06</v>
      </c>
      <c r="T323" s="14">
        <v>2563.3200000000002</v>
      </c>
      <c r="U323" s="73">
        <f t="shared" si="157"/>
        <v>37085.500000000007</v>
      </c>
      <c r="W323" s="49">
        <f t="shared" si="158"/>
        <v>138</v>
      </c>
      <c r="X323" s="49">
        <f t="shared" si="159"/>
        <v>153.46053073563994</v>
      </c>
      <c r="Y323" s="49">
        <f t="shared" si="160"/>
        <v>109</v>
      </c>
      <c r="Z323" s="49">
        <f t="shared" si="161"/>
        <v>123.52303262955854</v>
      </c>
      <c r="AA323" s="49">
        <f t="shared" si="162"/>
        <v>118.46065259117083</v>
      </c>
      <c r="AB323" s="49">
        <f t="shared" si="163"/>
        <v>109.00000000000001</v>
      </c>
      <c r="AC323" s="49">
        <f t="shared" si="164"/>
        <v>123.00000000000001</v>
      </c>
      <c r="AD323" s="49">
        <f t="shared" si="165"/>
        <v>65</v>
      </c>
      <c r="AE323" s="49">
        <f t="shared" si="166"/>
        <v>63.000000000000007</v>
      </c>
      <c r="AF323" s="49">
        <f t="shared" si="167"/>
        <v>40.000000000000007</v>
      </c>
      <c r="AG323" s="49">
        <f t="shared" si="168"/>
        <v>81</v>
      </c>
      <c r="AH323" s="49">
        <f t="shared" si="169"/>
        <v>82.000000000000014</v>
      </c>
      <c r="AI323" s="47">
        <f t="shared" ref="AI323:AI359" si="183">+IFERROR(AVERAGE(W323:AH323),0)</f>
        <v>100.45368466303078</v>
      </c>
      <c r="AJ323" s="134">
        <f t="shared" ref="AJ323:AJ359" si="184">SUM(W323:AH323)</f>
        <v>1205.4442159563694</v>
      </c>
      <c r="AK323"/>
      <c r="AN323" s="212">
        <v>0</v>
      </c>
      <c r="AO323" s="25">
        <f>+$AI323*AN323</f>
        <v>0</v>
      </c>
      <c r="AP323" s="212">
        <v>0</v>
      </c>
      <c r="AQ323" s="25">
        <f>+$AI323*AP323</f>
        <v>0</v>
      </c>
      <c r="AR323" s="212">
        <v>0</v>
      </c>
      <c r="AS323" s="25">
        <f>+$AI323*AR323</f>
        <v>0</v>
      </c>
      <c r="AT323" s="212">
        <v>0</v>
      </c>
      <c r="AU323" s="25">
        <f t="shared" si="182"/>
        <v>0</v>
      </c>
    </row>
    <row r="324" spans="1:47" ht="15" x14ac:dyDescent="0.25">
      <c r="A324" s="40" t="str">
        <f t="shared" si="175"/>
        <v>allRecyclingCRY90OC</v>
      </c>
      <c r="B324" s="1" t="str">
        <f t="shared" si="176"/>
        <v>VancRecyclingCRY90OC</v>
      </c>
      <c r="C324" s="58" t="s">
        <v>517</v>
      </c>
      <c r="D324" s="58" t="s">
        <v>598</v>
      </c>
      <c r="E324" s="11">
        <v>11.62</v>
      </c>
      <c r="F324" s="11">
        <v>12.200000000000001</v>
      </c>
      <c r="G324" s="11">
        <v>12.200000000000001</v>
      </c>
      <c r="I324" s="14">
        <v>17.399999999999999</v>
      </c>
      <c r="J324" s="14">
        <v>17.399999999999999</v>
      </c>
      <c r="K324" s="14">
        <v>17.399999999999999</v>
      </c>
      <c r="L324" s="14">
        <v>18.28</v>
      </c>
      <c r="M324" s="14">
        <v>18.28</v>
      </c>
      <c r="N324" s="14">
        <v>18.28</v>
      </c>
      <c r="O324" s="14">
        <v>30.24</v>
      </c>
      <c r="P324" s="14">
        <v>18.68</v>
      </c>
      <c r="Q324" s="14">
        <v>18.28</v>
      </c>
      <c r="R324" s="14">
        <v>18.28</v>
      </c>
      <c r="S324" s="14">
        <v>18.28</v>
      </c>
      <c r="T324" s="14">
        <v>18.28</v>
      </c>
      <c r="U324" s="73">
        <f t="shared" si="157"/>
        <v>229.08</v>
      </c>
      <c r="W324" s="49">
        <f t="shared" ref="W324:W359" si="185">IFERROR(I324/$E324,0)</f>
        <v>1.4974182444061961</v>
      </c>
      <c r="X324" s="49">
        <f t="shared" ref="X324:X359" si="186">IFERROR(J324/$E324,0)</f>
        <v>1.4974182444061961</v>
      </c>
      <c r="Y324" s="49">
        <f t="shared" ref="Y324:Y359" si="187">IFERROR(K324/$E324,0)</f>
        <v>1.4974182444061961</v>
      </c>
      <c r="Z324" s="49">
        <f t="shared" ref="Z324:Z359" si="188">IFERROR(L324/$F324,0)</f>
        <v>1.4983606557377049</v>
      </c>
      <c r="AA324" s="49">
        <f t="shared" ref="AA324:AA359" si="189">IFERROR(M324/$F324,0)</f>
        <v>1.4983606557377049</v>
      </c>
      <c r="AB324" s="49">
        <f t="shared" ref="AB324:AB359" si="190">IFERROR(N324/$F324,0)</f>
        <v>1.4983606557377049</v>
      </c>
      <c r="AC324" s="49">
        <f t="shared" ref="AC324:AC359" si="191">IFERROR(O324/$F324,0)</f>
        <v>2.4786885245901638</v>
      </c>
      <c r="AD324" s="49">
        <f t="shared" ref="AD324:AD359" si="192">IFERROR(P324/$F324,0)</f>
        <v>1.5311475409836064</v>
      </c>
      <c r="AE324" s="49">
        <f t="shared" ref="AE324:AE359" si="193">IFERROR(Q324/$F324,0)</f>
        <v>1.4983606557377049</v>
      </c>
      <c r="AF324" s="49">
        <f t="shared" ref="AF324:AF359" si="194">IFERROR(R324/$G324,0)</f>
        <v>1.4983606557377049</v>
      </c>
      <c r="AG324" s="49">
        <f t="shared" ref="AG324:AG359" si="195">IFERROR(S324/$G324,0)</f>
        <v>1.4983606557377049</v>
      </c>
      <c r="AH324" s="49">
        <f t="shared" ref="AH324:AH359" si="196">IFERROR(T324/$G324,0)</f>
        <v>1.4983606557377049</v>
      </c>
      <c r="AI324" s="47">
        <f t="shared" si="183"/>
        <v>1.5825512824130248</v>
      </c>
      <c r="AJ324" s="134">
        <f t="shared" si="184"/>
        <v>18.990615388956297</v>
      </c>
      <c r="AK324"/>
      <c r="AN324" s="212">
        <v>0</v>
      </c>
      <c r="AO324" s="25">
        <f>+$AI324*AN324</f>
        <v>0</v>
      </c>
      <c r="AP324" s="212">
        <v>1</v>
      </c>
      <c r="AQ324" s="25">
        <f>+$AI324*AP324</f>
        <v>1.5825512824130248</v>
      </c>
      <c r="AR324" s="212">
        <v>0</v>
      </c>
      <c r="AS324" s="25">
        <f>+$AI324*AR324</f>
        <v>0</v>
      </c>
      <c r="AT324" s="212">
        <v>0</v>
      </c>
      <c r="AU324" s="25">
        <f t="shared" si="182"/>
        <v>0</v>
      </c>
    </row>
    <row r="325" spans="1:47" ht="15" x14ac:dyDescent="0.25">
      <c r="A325" s="40" t="str">
        <f t="shared" ref="A325:A334" si="197">"all"&amp;"Recycling"&amp;C325</f>
        <v>allRecyclingCOMREC</v>
      </c>
      <c r="B325" s="1" t="str">
        <f t="shared" ref="B325:B334" si="198">"Vanc"&amp;"Recycling"&amp;C325</f>
        <v>VancRecyclingCOMREC</v>
      </c>
      <c r="C325" s="58" t="s">
        <v>525</v>
      </c>
      <c r="D325" s="58" t="s">
        <v>605</v>
      </c>
      <c r="E325" s="11">
        <v>63.55</v>
      </c>
      <c r="F325" s="11">
        <v>63.55</v>
      </c>
      <c r="G325" s="11">
        <v>63.55</v>
      </c>
      <c r="I325" s="14">
        <v>5737.87</v>
      </c>
      <c r="J325" s="14">
        <v>5737.87</v>
      </c>
      <c r="K325" s="14">
        <v>5737.87</v>
      </c>
      <c r="L325" s="14">
        <v>5737.87</v>
      </c>
      <c r="M325" s="14">
        <v>5795.15</v>
      </c>
      <c r="N325" s="14">
        <v>5814.25</v>
      </c>
      <c r="O325" s="14">
        <v>5814.25</v>
      </c>
      <c r="P325" s="14">
        <v>5814.25</v>
      </c>
      <c r="Q325" s="14">
        <v>5814.25</v>
      </c>
      <c r="R325" s="14">
        <v>5814.25</v>
      </c>
      <c r="S325" s="14">
        <v>5814.25</v>
      </c>
      <c r="T325" s="14">
        <v>5814.25</v>
      </c>
      <c r="U325" s="73">
        <f t="shared" si="157"/>
        <v>69446.38</v>
      </c>
      <c r="W325" s="49">
        <f t="shared" si="185"/>
        <v>90.289063729346978</v>
      </c>
      <c r="X325" s="49">
        <f t="shared" si="186"/>
        <v>90.289063729346978</v>
      </c>
      <c r="Y325" s="49">
        <f t="shared" si="187"/>
        <v>90.289063729346978</v>
      </c>
      <c r="Z325" s="49">
        <f t="shared" si="188"/>
        <v>90.289063729346978</v>
      </c>
      <c r="AA325" s="49">
        <f t="shared" si="189"/>
        <v>91.190401258851296</v>
      </c>
      <c r="AB325" s="49">
        <f t="shared" si="190"/>
        <v>91.490952006294265</v>
      </c>
      <c r="AC325" s="49">
        <f t="shared" si="191"/>
        <v>91.490952006294265</v>
      </c>
      <c r="AD325" s="49">
        <f t="shared" si="192"/>
        <v>91.490952006294265</v>
      </c>
      <c r="AE325" s="49">
        <f t="shared" si="193"/>
        <v>91.490952006294265</v>
      </c>
      <c r="AF325" s="49">
        <f t="shared" si="194"/>
        <v>91.490952006294265</v>
      </c>
      <c r="AG325" s="49">
        <f t="shared" si="195"/>
        <v>91.490952006294265</v>
      </c>
      <c r="AH325" s="49">
        <f t="shared" si="196"/>
        <v>91.490952006294265</v>
      </c>
      <c r="AI325" s="47">
        <f t="shared" si="183"/>
        <v>91.065276685024926</v>
      </c>
      <c r="AJ325" s="134">
        <f t="shared" si="184"/>
        <v>1092.7833202202992</v>
      </c>
      <c r="AK325"/>
      <c r="AN325" s="212">
        <v>0</v>
      </c>
      <c r="AO325" s="25">
        <f>+$AI325*AN325</f>
        <v>0</v>
      </c>
      <c r="AP325" s="212">
        <v>1</v>
      </c>
      <c r="AQ325" s="25">
        <f>+$AI325*AP325</f>
        <v>91.065276685024926</v>
      </c>
      <c r="AR325" s="212">
        <v>0</v>
      </c>
      <c r="AS325" s="25">
        <f>+$AI325*AR325</f>
        <v>0</v>
      </c>
      <c r="AT325" s="212">
        <v>0</v>
      </c>
      <c r="AU325" s="25">
        <f t="shared" si="182"/>
        <v>0</v>
      </c>
    </row>
    <row r="326" spans="1:47" ht="15" x14ac:dyDescent="0.25">
      <c r="A326" s="40" t="str">
        <f t="shared" si="197"/>
        <v>allRecyclingCRYEX90</v>
      </c>
      <c r="B326" s="1" t="str">
        <f t="shared" si="198"/>
        <v>VancRecyclingCRYEX90</v>
      </c>
      <c r="C326" s="58" t="s">
        <v>527</v>
      </c>
      <c r="D326" s="58" t="s">
        <v>607</v>
      </c>
      <c r="E326" s="11">
        <v>24.9</v>
      </c>
      <c r="F326" s="11">
        <v>26.150000000000002</v>
      </c>
      <c r="G326" s="11">
        <v>26.150000000000002</v>
      </c>
      <c r="I326" s="14">
        <v>0</v>
      </c>
      <c r="J326" s="14">
        <v>0</v>
      </c>
      <c r="K326" s="14">
        <v>0</v>
      </c>
      <c r="L326" s="14">
        <v>0</v>
      </c>
      <c r="M326" s="14">
        <v>0</v>
      </c>
      <c r="N326" s="14">
        <v>0</v>
      </c>
      <c r="O326" s="14">
        <v>0</v>
      </c>
      <c r="P326" s="14">
        <v>0</v>
      </c>
      <c r="Q326" s="14">
        <v>0</v>
      </c>
      <c r="R326" s="14">
        <v>26.15</v>
      </c>
      <c r="S326" s="14">
        <v>-26.15</v>
      </c>
      <c r="T326" s="14">
        <v>0</v>
      </c>
      <c r="U326" s="73">
        <f t="shared" si="157"/>
        <v>0</v>
      </c>
      <c r="W326" s="49">
        <f t="shared" si="185"/>
        <v>0</v>
      </c>
      <c r="X326" s="49">
        <f t="shared" si="186"/>
        <v>0</v>
      </c>
      <c r="Y326" s="49">
        <f t="shared" si="187"/>
        <v>0</v>
      </c>
      <c r="Z326" s="49">
        <f t="shared" si="188"/>
        <v>0</v>
      </c>
      <c r="AA326" s="49">
        <f t="shared" si="189"/>
        <v>0</v>
      </c>
      <c r="AB326" s="49">
        <f t="shared" si="190"/>
        <v>0</v>
      </c>
      <c r="AC326" s="49">
        <f t="shared" si="191"/>
        <v>0</v>
      </c>
      <c r="AD326" s="49">
        <f t="shared" si="192"/>
        <v>0</v>
      </c>
      <c r="AE326" s="49">
        <f t="shared" si="193"/>
        <v>0</v>
      </c>
      <c r="AF326" s="49">
        <f t="shared" si="194"/>
        <v>0.99999999999999989</v>
      </c>
      <c r="AG326" s="49">
        <f t="shared" si="195"/>
        <v>-0.99999999999999989</v>
      </c>
      <c r="AH326" s="49">
        <f t="shared" si="196"/>
        <v>0</v>
      </c>
      <c r="AI326" s="47">
        <f t="shared" si="183"/>
        <v>0</v>
      </c>
      <c r="AJ326" s="134">
        <f t="shared" si="184"/>
        <v>0</v>
      </c>
      <c r="AK326"/>
    </row>
    <row r="327" spans="1:47" ht="15" x14ac:dyDescent="0.25">
      <c r="A327" s="40" t="str">
        <f t="shared" si="197"/>
        <v>allRecyclingCRYEX1YD</v>
      </c>
      <c r="B327" s="1" t="str">
        <f t="shared" si="198"/>
        <v>VancRecyclingCRYEX1YD</v>
      </c>
      <c r="C327" s="58" t="s">
        <v>529</v>
      </c>
      <c r="D327" s="58" t="s">
        <v>609</v>
      </c>
      <c r="E327" s="11">
        <v>33.18</v>
      </c>
      <c r="F327" s="11">
        <v>34.839999999999996</v>
      </c>
      <c r="G327" s="11">
        <v>34.839999999999996</v>
      </c>
      <c r="I327" s="14">
        <v>0</v>
      </c>
      <c r="J327" s="14">
        <v>33.18</v>
      </c>
      <c r="K327" s="14">
        <v>0</v>
      </c>
      <c r="L327" s="14">
        <v>0</v>
      </c>
      <c r="M327" s="14">
        <v>0</v>
      </c>
      <c r="N327" s="14">
        <v>0</v>
      </c>
      <c r="O327" s="14">
        <v>0</v>
      </c>
      <c r="P327" s="14">
        <v>104.52</v>
      </c>
      <c r="Q327" s="14">
        <v>104.52</v>
      </c>
      <c r="R327" s="14">
        <v>34.840000000000003</v>
      </c>
      <c r="S327" s="14">
        <v>0</v>
      </c>
      <c r="T327" s="14">
        <v>0</v>
      </c>
      <c r="U327" s="73">
        <f t="shared" ref="U327:U359" si="199">SUM(I327:T327)</f>
        <v>277.05999999999995</v>
      </c>
      <c r="W327" s="49">
        <f t="shared" si="185"/>
        <v>0</v>
      </c>
      <c r="X327" s="49">
        <f t="shared" si="186"/>
        <v>1</v>
      </c>
      <c r="Y327" s="49">
        <f t="shared" si="187"/>
        <v>0</v>
      </c>
      <c r="Z327" s="49">
        <f t="shared" si="188"/>
        <v>0</v>
      </c>
      <c r="AA327" s="49">
        <f t="shared" si="189"/>
        <v>0</v>
      </c>
      <c r="AB327" s="49">
        <f t="shared" si="190"/>
        <v>0</v>
      </c>
      <c r="AC327" s="49">
        <f t="shared" si="191"/>
        <v>0</v>
      </c>
      <c r="AD327" s="49">
        <f t="shared" si="192"/>
        <v>3</v>
      </c>
      <c r="AE327" s="49">
        <f t="shared" si="193"/>
        <v>3</v>
      </c>
      <c r="AF327" s="49">
        <f t="shared" si="194"/>
        <v>1.0000000000000002</v>
      </c>
      <c r="AG327" s="49">
        <f t="shared" si="195"/>
        <v>0</v>
      </c>
      <c r="AH327" s="49">
        <f t="shared" si="196"/>
        <v>0</v>
      </c>
      <c r="AI327" s="47">
        <f t="shared" si="183"/>
        <v>0.66666666666666663</v>
      </c>
      <c r="AJ327" s="134">
        <f t="shared" si="184"/>
        <v>8</v>
      </c>
      <c r="AK327"/>
    </row>
    <row r="328" spans="1:47" ht="15" x14ac:dyDescent="0.25">
      <c r="A328" s="40" t="str">
        <f t="shared" si="197"/>
        <v>allRecyclingCRYEX2YD</v>
      </c>
      <c r="B328" s="1" t="str">
        <f t="shared" si="198"/>
        <v>VancRecyclingCRYEX2YD</v>
      </c>
      <c r="C328" s="58" t="s">
        <v>530</v>
      </c>
      <c r="D328" s="58" t="s">
        <v>610</v>
      </c>
      <c r="E328" s="11">
        <v>36.520000000000003</v>
      </c>
      <c r="F328" s="11">
        <v>38.35</v>
      </c>
      <c r="G328" s="11">
        <v>38.35</v>
      </c>
      <c r="I328" s="14">
        <v>74.62</v>
      </c>
      <c r="J328" s="14">
        <v>74.62</v>
      </c>
      <c r="K328" s="14">
        <v>147.66000000000003</v>
      </c>
      <c r="L328" s="14">
        <v>74.62</v>
      </c>
      <c r="M328" s="14">
        <v>74.62</v>
      </c>
      <c r="N328" s="14">
        <v>74.62</v>
      </c>
      <c r="O328" s="14">
        <v>189.67000000000002</v>
      </c>
      <c r="P328" s="14">
        <v>74.62</v>
      </c>
      <c r="Q328" s="14">
        <v>189.67000000000002</v>
      </c>
      <c r="R328" s="14">
        <v>153.11000000000001</v>
      </c>
      <c r="S328" s="14">
        <v>-76.37</v>
      </c>
      <c r="T328" s="14">
        <v>0</v>
      </c>
      <c r="U328" s="73">
        <f t="shared" si="199"/>
        <v>1051.46</v>
      </c>
      <c r="W328" s="49">
        <f t="shared" si="185"/>
        <v>2.0432639649507118</v>
      </c>
      <c r="X328" s="49">
        <f t="shared" si="186"/>
        <v>2.0432639649507118</v>
      </c>
      <c r="Y328" s="49">
        <f t="shared" si="187"/>
        <v>4.0432639649507127</v>
      </c>
      <c r="Z328" s="49">
        <f t="shared" si="188"/>
        <v>1.9457627118644067</v>
      </c>
      <c r="AA328" s="49">
        <f t="shared" si="189"/>
        <v>1.9457627118644067</v>
      </c>
      <c r="AB328" s="49">
        <f t="shared" si="190"/>
        <v>1.9457627118644067</v>
      </c>
      <c r="AC328" s="49">
        <f t="shared" si="191"/>
        <v>4.9457627118644067</v>
      </c>
      <c r="AD328" s="49">
        <f t="shared" si="192"/>
        <v>1.9457627118644067</v>
      </c>
      <c r="AE328" s="49">
        <f t="shared" si="193"/>
        <v>4.9457627118644067</v>
      </c>
      <c r="AF328" s="49">
        <f t="shared" si="194"/>
        <v>3.9924380704041722</v>
      </c>
      <c r="AG328" s="49">
        <f t="shared" si="195"/>
        <v>-1.9913950456323337</v>
      </c>
      <c r="AH328" s="49">
        <f t="shared" si="196"/>
        <v>0</v>
      </c>
      <c r="AI328" s="47">
        <f t="shared" si="183"/>
        <v>2.3171175992342019</v>
      </c>
      <c r="AJ328" s="134">
        <f t="shared" si="184"/>
        <v>27.805411190810421</v>
      </c>
      <c r="AK328"/>
    </row>
    <row r="329" spans="1:47" ht="15" x14ac:dyDescent="0.25">
      <c r="A329" s="40" t="str">
        <f t="shared" si="197"/>
        <v>allRecyclingCRYEX3YD</v>
      </c>
      <c r="B329" s="1" t="str">
        <f t="shared" si="198"/>
        <v>VancRecyclingCRYEX3YD</v>
      </c>
      <c r="C329" s="58" t="s">
        <v>531</v>
      </c>
      <c r="D329" s="58" t="s">
        <v>611</v>
      </c>
      <c r="E329" s="11">
        <v>40.68</v>
      </c>
      <c r="F329" s="11">
        <v>42.709999999999994</v>
      </c>
      <c r="G329" s="11">
        <v>42.709999999999994</v>
      </c>
      <c r="I329" s="14">
        <v>40.68</v>
      </c>
      <c r="J329" s="14">
        <v>0</v>
      </c>
      <c r="K329" s="14">
        <v>0</v>
      </c>
      <c r="L329" s="14">
        <v>0</v>
      </c>
      <c r="M329" s="14">
        <v>85.42</v>
      </c>
      <c r="N329" s="14">
        <v>0</v>
      </c>
      <c r="O329" s="14">
        <v>85.42</v>
      </c>
      <c r="P329" s="14">
        <v>128.13</v>
      </c>
      <c r="Q329" s="14">
        <v>42.71</v>
      </c>
      <c r="R329" s="14">
        <v>42.71</v>
      </c>
      <c r="S329" s="14">
        <v>42.71</v>
      </c>
      <c r="T329" s="14">
        <v>42.71</v>
      </c>
      <c r="U329" s="73">
        <f t="shared" si="199"/>
        <v>510.4899999999999</v>
      </c>
      <c r="W329" s="49">
        <f t="shared" si="185"/>
        <v>1</v>
      </c>
      <c r="X329" s="49">
        <f t="shared" si="186"/>
        <v>0</v>
      </c>
      <c r="Y329" s="49">
        <f t="shared" si="187"/>
        <v>0</v>
      </c>
      <c r="Z329" s="49">
        <f t="shared" si="188"/>
        <v>0</v>
      </c>
      <c r="AA329" s="49">
        <f t="shared" si="189"/>
        <v>2.0000000000000004</v>
      </c>
      <c r="AB329" s="49">
        <f t="shared" si="190"/>
        <v>0</v>
      </c>
      <c r="AC329" s="49">
        <f t="shared" si="191"/>
        <v>2.0000000000000004</v>
      </c>
      <c r="AD329" s="49">
        <f t="shared" si="192"/>
        <v>3.0000000000000004</v>
      </c>
      <c r="AE329" s="49">
        <f t="shared" si="193"/>
        <v>1.0000000000000002</v>
      </c>
      <c r="AF329" s="49">
        <f t="shared" si="194"/>
        <v>1.0000000000000002</v>
      </c>
      <c r="AG329" s="49">
        <f t="shared" si="195"/>
        <v>1.0000000000000002</v>
      </c>
      <c r="AH329" s="49">
        <f t="shared" si="196"/>
        <v>1.0000000000000002</v>
      </c>
      <c r="AI329" s="47">
        <f t="shared" si="183"/>
        <v>1.0000000000000002</v>
      </c>
      <c r="AJ329" s="134">
        <f t="shared" si="184"/>
        <v>12.000000000000002</v>
      </c>
      <c r="AK329"/>
    </row>
    <row r="330" spans="1:47" ht="15" x14ac:dyDescent="0.25">
      <c r="A330" s="40" t="str">
        <f t="shared" si="197"/>
        <v>allRecyclingCRYEX4YD</v>
      </c>
      <c r="B330" s="1" t="str">
        <f t="shared" si="198"/>
        <v>VancRecyclingCRYEX4YD</v>
      </c>
      <c r="C330" s="58" t="s">
        <v>532</v>
      </c>
      <c r="D330" s="58" t="s">
        <v>612</v>
      </c>
      <c r="E330" s="11">
        <v>41.5</v>
      </c>
      <c r="F330" s="11">
        <v>43.579999999999991</v>
      </c>
      <c r="G330" s="11">
        <v>43.579999999999991</v>
      </c>
      <c r="I330" s="14">
        <v>0</v>
      </c>
      <c r="J330" s="14">
        <v>41.5</v>
      </c>
      <c r="K330" s="14">
        <v>100.57</v>
      </c>
      <c r="L330" s="14">
        <v>43.58</v>
      </c>
      <c r="M330" s="14">
        <v>61.15</v>
      </c>
      <c r="N330" s="14">
        <v>305.06</v>
      </c>
      <c r="O330" s="14">
        <v>43.58</v>
      </c>
      <c r="P330" s="14">
        <v>130.74</v>
      </c>
      <c r="Q330" s="14">
        <v>43.58</v>
      </c>
      <c r="R330" s="14">
        <v>0</v>
      </c>
      <c r="S330" s="14">
        <v>-43.58</v>
      </c>
      <c r="T330" s="14">
        <v>0</v>
      </c>
      <c r="U330" s="73">
        <f t="shared" si="199"/>
        <v>726.18000000000006</v>
      </c>
      <c r="W330" s="49">
        <f t="shared" si="185"/>
        <v>0</v>
      </c>
      <c r="X330" s="49">
        <f t="shared" si="186"/>
        <v>1</v>
      </c>
      <c r="Y330" s="49">
        <f t="shared" si="187"/>
        <v>2.4233734939759035</v>
      </c>
      <c r="Z330" s="49">
        <f t="shared" si="188"/>
        <v>1.0000000000000002</v>
      </c>
      <c r="AA330" s="49">
        <f t="shared" si="189"/>
        <v>1.4031665901789814</v>
      </c>
      <c r="AB330" s="49">
        <f t="shared" si="190"/>
        <v>7.0000000000000018</v>
      </c>
      <c r="AC330" s="49">
        <f t="shared" si="191"/>
        <v>1.0000000000000002</v>
      </c>
      <c r="AD330" s="49">
        <f t="shared" si="192"/>
        <v>3.0000000000000009</v>
      </c>
      <c r="AE330" s="49">
        <f t="shared" si="193"/>
        <v>1.0000000000000002</v>
      </c>
      <c r="AF330" s="49">
        <f t="shared" si="194"/>
        <v>0</v>
      </c>
      <c r="AG330" s="49">
        <f t="shared" si="195"/>
        <v>-1.0000000000000002</v>
      </c>
      <c r="AH330" s="49">
        <f t="shared" si="196"/>
        <v>0</v>
      </c>
      <c r="AI330" s="47">
        <f t="shared" si="183"/>
        <v>1.402211673679574</v>
      </c>
      <c r="AJ330" s="134">
        <f t="shared" si="184"/>
        <v>16.826540084154889</v>
      </c>
      <c r="AK330"/>
    </row>
    <row r="331" spans="1:47" s="45" customFormat="1" x14ac:dyDescent="0.2">
      <c r="B331" s="1" t="str">
        <f>"Vanc"&amp;"residential Extras"&amp;C331</f>
        <v>Vancresidential ExtrasCRPLACE</v>
      </c>
      <c r="C331" s="58" t="s">
        <v>522</v>
      </c>
      <c r="D331" s="58" t="s">
        <v>602</v>
      </c>
      <c r="E331" s="11">
        <v>16.36</v>
      </c>
      <c r="F331" s="11">
        <v>16.36</v>
      </c>
      <c r="G331" s="11">
        <v>16.36</v>
      </c>
      <c r="H331" s="55"/>
      <c r="I331" s="14">
        <v>0</v>
      </c>
      <c r="J331" s="14">
        <v>0</v>
      </c>
      <c r="K331" s="14">
        <v>0</v>
      </c>
      <c r="L331" s="14">
        <v>16.36</v>
      </c>
      <c r="M331" s="14">
        <v>16.36</v>
      </c>
      <c r="N331" s="14">
        <v>0</v>
      </c>
      <c r="O331" s="14">
        <v>65.44</v>
      </c>
      <c r="P331" s="14">
        <v>0</v>
      </c>
      <c r="Q331" s="14">
        <v>65.44</v>
      </c>
      <c r="R331" s="14">
        <v>0</v>
      </c>
      <c r="S331" s="14">
        <v>0</v>
      </c>
      <c r="T331" s="14">
        <v>17.239999999999998</v>
      </c>
      <c r="U331" s="73">
        <f>SUM(I331:T331)</f>
        <v>180.84</v>
      </c>
      <c r="W331" s="49">
        <f t="shared" si="185"/>
        <v>0</v>
      </c>
      <c r="X331" s="49">
        <f t="shared" si="186"/>
        <v>0</v>
      </c>
      <c r="Y331" s="49">
        <f t="shared" si="187"/>
        <v>0</v>
      </c>
      <c r="Z331" s="49">
        <f t="shared" si="188"/>
        <v>1</v>
      </c>
      <c r="AA331" s="49">
        <f t="shared" si="189"/>
        <v>1</v>
      </c>
      <c r="AB331" s="49">
        <f t="shared" si="190"/>
        <v>0</v>
      </c>
      <c r="AC331" s="49">
        <f t="shared" si="191"/>
        <v>4</v>
      </c>
      <c r="AD331" s="49">
        <f t="shared" si="192"/>
        <v>0</v>
      </c>
      <c r="AE331" s="49">
        <f t="shared" si="193"/>
        <v>4</v>
      </c>
      <c r="AF331" s="49">
        <f t="shared" si="194"/>
        <v>0</v>
      </c>
      <c r="AG331" s="49">
        <f t="shared" si="195"/>
        <v>0</v>
      </c>
      <c r="AH331" s="49">
        <f t="shared" si="196"/>
        <v>1.0537897310513447</v>
      </c>
      <c r="AI331" s="47">
        <f>+IFERROR(AVERAGE(W331:AH331),0)</f>
        <v>0.92114914425427863</v>
      </c>
      <c r="AJ331" s="134">
        <f>SUM(W331:AH331)</f>
        <v>11.053789731051344</v>
      </c>
    </row>
    <row r="332" spans="1:47" ht="15" x14ac:dyDescent="0.25">
      <c r="A332" s="40" t="str">
        <f t="shared" si="197"/>
        <v>allRecyclingCRYEX6YD</v>
      </c>
      <c r="B332" s="1" t="str">
        <f t="shared" si="198"/>
        <v>VancRecyclingCRYEX6YD</v>
      </c>
      <c r="C332" s="58" t="s">
        <v>534</v>
      </c>
      <c r="D332" s="58" t="s">
        <v>614</v>
      </c>
      <c r="E332" s="11">
        <v>44.8</v>
      </c>
      <c r="F332" s="11">
        <v>47.040000000000006</v>
      </c>
      <c r="G332" s="11">
        <v>47.040000000000006</v>
      </c>
      <c r="I332" s="14">
        <v>0</v>
      </c>
      <c r="J332" s="14">
        <v>0</v>
      </c>
      <c r="K332" s="14">
        <v>0</v>
      </c>
      <c r="L332" s="14">
        <v>946.44</v>
      </c>
      <c r="M332" s="14">
        <v>0</v>
      </c>
      <c r="N332" s="14">
        <v>0</v>
      </c>
      <c r="O332" s="14">
        <v>0</v>
      </c>
      <c r="P332" s="14">
        <v>47.04</v>
      </c>
      <c r="Q332" s="14">
        <v>0</v>
      </c>
      <c r="R332" s="14">
        <v>141.12</v>
      </c>
      <c r="S332" s="14">
        <v>0</v>
      </c>
      <c r="T332" s="14">
        <v>0</v>
      </c>
      <c r="U332" s="73">
        <f t="shared" si="199"/>
        <v>1134.5999999999999</v>
      </c>
      <c r="W332" s="49">
        <f t="shared" si="185"/>
        <v>0</v>
      </c>
      <c r="X332" s="49">
        <f t="shared" si="186"/>
        <v>0</v>
      </c>
      <c r="Y332" s="49">
        <f t="shared" si="187"/>
        <v>0</v>
      </c>
      <c r="Z332" s="49">
        <f t="shared" si="188"/>
        <v>20.119897959183671</v>
      </c>
      <c r="AA332" s="49">
        <f t="shared" si="189"/>
        <v>0</v>
      </c>
      <c r="AB332" s="49">
        <f t="shared" si="190"/>
        <v>0</v>
      </c>
      <c r="AC332" s="49">
        <f t="shared" si="191"/>
        <v>0</v>
      </c>
      <c r="AD332" s="49">
        <f t="shared" si="192"/>
        <v>0.99999999999999989</v>
      </c>
      <c r="AE332" s="49">
        <f t="shared" si="193"/>
        <v>0</v>
      </c>
      <c r="AF332" s="49">
        <f t="shared" si="194"/>
        <v>2.9999999999999996</v>
      </c>
      <c r="AG332" s="49">
        <f t="shared" si="195"/>
        <v>0</v>
      </c>
      <c r="AH332" s="49">
        <f t="shared" si="196"/>
        <v>0</v>
      </c>
      <c r="AI332" s="47">
        <f t="shared" si="183"/>
        <v>2.0099914965986394</v>
      </c>
      <c r="AJ332" s="134">
        <f t="shared" si="184"/>
        <v>24.119897959183671</v>
      </c>
      <c r="AK332"/>
    </row>
    <row r="333" spans="1:47" ht="15" x14ac:dyDescent="0.25">
      <c r="A333" s="40" t="str">
        <f t="shared" si="197"/>
        <v>allRecyclingCRYEX8YD</v>
      </c>
      <c r="B333" s="1" t="str">
        <f t="shared" si="198"/>
        <v>VancRecyclingCRYEX8YD</v>
      </c>
      <c r="C333" s="58" t="s">
        <v>535</v>
      </c>
      <c r="D333" s="58" t="s">
        <v>615</v>
      </c>
      <c r="E333" s="11">
        <v>46.54</v>
      </c>
      <c r="F333" s="11">
        <v>48.87</v>
      </c>
      <c r="G333" s="11">
        <v>48.87</v>
      </c>
      <c r="I333" s="14">
        <v>0</v>
      </c>
      <c r="J333" s="14">
        <v>0</v>
      </c>
      <c r="K333" s="14">
        <v>0</v>
      </c>
      <c r="L333" s="14">
        <v>0</v>
      </c>
      <c r="M333" s="14">
        <v>0</v>
      </c>
      <c r="N333" s="14">
        <v>0</v>
      </c>
      <c r="O333" s="14">
        <v>0</v>
      </c>
      <c r="P333" s="14">
        <v>0</v>
      </c>
      <c r="Q333" s="14">
        <v>0</v>
      </c>
      <c r="R333" s="14">
        <v>0</v>
      </c>
      <c r="S333" s="14">
        <v>48.87</v>
      </c>
      <c r="T333" s="14">
        <v>0</v>
      </c>
      <c r="U333" s="73">
        <f t="shared" si="199"/>
        <v>48.87</v>
      </c>
      <c r="W333" s="49">
        <f t="shared" si="185"/>
        <v>0</v>
      </c>
      <c r="X333" s="49">
        <f t="shared" si="186"/>
        <v>0</v>
      </c>
      <c r="Y333" s="49">
        <f t="shared" si="187"/>
        <v>0</v>
      </c>
      <c r="Z333" s="49">
        <f t="shared" si="188"/>
        <v>0</v>
      </c>
      <c r="AA333" s="49">
        <f t="shared" si="189"/>
        <v>0</v>
      </c>
      <c r="AB333" s="49">
        <f t="shared" si="190"/>
        <v>0</v>
      </c>
      <c r="AC333" s="49">
        <f t="shared" si="191"/>
        <v>0</v>
      </c>
      <c r="AD333" s="49">
        <f t="shared" si="192"/>
        <v>0</v>
      </c>
      <c r="AE333" s="49">
        <f t="shared" si="193"/>
        <v>0</v>
      </c>
      <c r="AF333" s="49">
        <f t="shared" si="194"/>
        <v>0</v>
      </c>
      <c r="AG333" s="49">
        <f t="shared" si="195"/>
        <v>1</v>
      </c>
      <c r="AH333" s="49">
        <f t="shared" si="196"/>
        <v>0</v>
      </c>
      <c r="AI333" s="47">
        <f t="shared" si="183"/>
        <v>8.3333333333333329E-2</v>
      </c>
      <c r="AJ333" s="134">
        <f t="shared" si="184"/>
        <v>1</v>
      </c>
      <c r="AK333"/>
    </row>
    <row r="334" spans="1:47" ht="15" x14ac:dyDescent="0.25">
      <c r="A334" s="40" t="str">
        <f t="shared" si="197"/>
        <v>allRecyclingCRY90OC2</v>
      </c>
      <c r="B334" s="1" t="str">
        <f t="shared" si="198"/>
        <v>VancRecyclingCRY90OC2</v>
      </c>
      <c r="C334" s="58" t="s">
        <v>518</v>
      </c>
      <c r="D334" s="58" t="s">
        <v>599</v>
      </c>
      <c r="E334" s="11">
        <v>23.24</v>
      </c>
      <c r="F334" s="11">
        <v>24.400000000000002</v>
      </c>
      <c r="G334" s="11">
        <v>24.400000000000002</v>
      </c>
      <c r="I334" s="14">
        <v>12.46</v>
      </c>
      <c r="J334" s="14">
        <v>12.46</v>
      </c>
      <c r="K334" s="14">
        <v>12.46</v>
      </c>
      <c r="L334" s="14">
        <v>13.08</v>
      </c>
      <c r="M334" s="14">
        <v>13.08</v>
      </c>
      <c r="N334" s="14">
        <v>13.08</v>
      </c>
      <c r="O334" s="14">
        <v>13.08</v>
      </c>
      <c r="P334" s="14">
        <v>13.08</v>
      </c>
      <c r="Q334" s="14">
        <v>13.08</v>
      </c>
      <c r="R334" s="14">
        <v>13.08</v>
      </c>
      <c r="S334" s="14">
        <v>13.08</v>
      </c>
      <c r="T334" s="14">
        <v>13.08</v>
      </c>
      <c r="U334" s="73">
        <f t="shared" si="199"/>
        <v>155.10000000000002</v>
      </c>
      <c r="W334" s="49">
        <f t="shared" si="185"/>
        <v>0.53614457831325313</v>
      </c>
      <c r="X334" s="49">
        <f t="shared" si="186"/>
        <v>0.53614457831325313</v>
      </c>
      <c r="Y334" s="49">
        <f t="shared" si="187"/>
        <v>0.53614457831325313</v>
      </c>
      <c r="Z334" s="49">
        <f t="shared" si="188"/>
        <v>0.5360655737704918</v>
      </c>
      <c r="AA334" s="49">
        <f t="shared" si="189"/>
        <v>0.5360655737704918</v>
      </c>
      <c r="AB334" s="49">
        <f t="shared" si="190"/>
        <v>0.5360655737704918</v>
      </c>
      <c r="AC334" s="49">
        <f t="shared" si="191"/>
        <v>0.5360655737704918</v>
      </c>
      <c r="AD334" s="49">
        <f t="shared" si="192"/>
        <v>0.5360655737704918</v>
      </c>
      <c r="AE334" s="49">
        <f t="shared" si="193"/>
        <v>0.5360655737704918</v>
      </c>
      <c r="AF334" s="49">
        <f t="shared" si="194"/>
        <v>0.5360655737704918</v>
      </c>
      <c r="AG334" s="49">
        <f t="shared" si="195"/>
        <v>0.5360655737704918</v>
      </c>
      <c r="AH334" s="49">
        <f t="shared" si="196"/>
        <v>0.5360655737704918</v>
      </c>
      <c r="AI334" s="47">
        <f t="shared" si="183"/>
        <v>0.53608532490618199</v>
      </c>
      <c r="AJ334" s="134">
        <f t="shared" si="184"/>
        <v>6.4330238988741844</v>
      </c>
      <c r="AK334"/>
    </row>
    <row r="335" spans="1:47" ht="15" x14ac:dyDescent="0.25">
      <c r="A335" s="40" t="str">
        <f t="shared" ref="A335:A359" si="200">"all"&amp;"Recycling"&amp;C335</f>
        <v>allRecyclingCRY1.5OC</v>
      </c>
      <c r="B335" s="1" t="str">
        <f t="shared" si="176"/>
        <v>VancRecyclingCRY1.5OC</v>
      </c>
      <c r="C335" s="58" t="s">
        <v>508</v>
      </c>
      <c r="D335" s="58" t="s">
        <v>590</v>
      </c>
      <c r="E335" s="11">
        <v>40.119999999999997</v>
      </c>
      <c r="F335" s="11">
        <v>42.129999999999995</v>
      </c>
      <c r="G335" s="11">
        <v>42.129999999999995</v>
      </c>
      <c r="I335" s="14">
        <v>40.119999999999997</v>
      </c>
      <c r="J335" s="14">
        <v>40.119999999999997</v>
      </c>
      <c r="K335" s="14">
        <v>40.119999999999997</v>
      </c>
      <c r="L335" s="14">
        <v>42.13</v>
      </c>
      <c r="M335" s="14">
        <v>42.13</v>
      </c>
      <c r="N335" s="14">
        <v>42.13</v>
      </c>
      <c r="O335" s="14">
        <v>42.13</v>
      </c>
      <c r="P335" s="14">
        <v>42.13</v>
      </c>
      <c r="Q335" s="14">
        <v>42.13</v>
      </c>
      <c r="R335" s="14">
        <v>42.13</v>
      </c>
      <c r="S335" s="14">
        <v>42.13</v>
      </c>
      <c r="T335" s="14">
        <v>42.13</v>
      </c>
      <c r="U335" s="73">
        <f t="shared" si="199"/>
        <v>499.53</v>
      </c>
      <c r="W335" s="49">
        <f t="shared" si="185"/>
        <v>1</v>
      </c>
      <c r="X335" s="49">
        <f t="shared" si="186"/>
        <v>1</v>
      </c>
      <c r="Y335" s="49">
        <f t="shared" si="187"/>
        <v>1</v>
      </c>
      <c r="Z335" s="49">
        <f t="shared" si="188"/>
        <v>1.0000000000000002</v>
      </c>
      <c r="AA335" s="49">
        <f t="shared" si="189"/>
        <v>1.0000000000000002</v>
      </c>
      <c r="AB335" s="49">
        <f t="shared" si="190"/>
        <v>1.0000000000000002</v>
      </c>
      <c r="AC335" s="49">
        <f t="shared" si="191"/>
        <v>1.0000000000000002</v>
      </c>
      <c r="AD335" s="49">
        <f t="shared" si="192"/>
        <v>1.0000000000000002</v>
      </c>
      <c r="AE335" s="49">
        <f t="shared" si="193"/>
        <v>1.0000000000000002</v>
      </c>
      <c r="AF335" s="49">
        <f t="shared" si="194"/>
        <v>1.0000000000000002</v>
      </c>
      <c r="AG335" s="49">
        <f t="shared" si="195"/>
        <v>1.0000000000000002</v>
      </c>
      <c r="AH335" s="49">
        <f t="shared" si="196"/>
        <v>1.0000000000000002</v>
      </c>
      <c r="AI335" s="47">
        <f t="shared" si="183"/>
        <v>1</v>
      </c>
      <c r="AJ335" s="134">
        <f t="shared" si="184"/>
        <v>12</v>
      </c>
      <c r="AK335"/>
    </row>
    <row r="336" spans="1:47" ht="15" x14ac:dyDescent="0.25">
      <c r="A336" s="40" t="str">
        <f t="shared" si="200"/>
        <v>allRecyclingCRY2YOC</v>
      </c>
      <c r="B336" s="1" t="str">
        <f t="shared" si="176"/>
        <v>VancRecyclingCRY2YOC</v>
      </c>
      <c r="C336" s="58" t="s">
        <v>509</v>
      </c>
      <c r="D336" s="58" t="s">
        <v>591</v>
      </c>
      <c r="E336" s="11">
        <v>42.99</v>
      </c>
      <c r="F336" s="11">
        <v>45.139999999999993</v>
      </c>
      <c r="G336" s="11">
        <v>45.139999999999993</v>
      </c>
      <c r="I336" s="14">
        <v>115.63</v>
      </c>
      <c r="J336" s="14">
        <v>158.62</v>
      </c>
      <c r="K336" s="14">
        <v>158.62</v>
      </c>
      <c r="L336" s="14">
        <v>162.91999999999999</v>
      </c>
      <c r="M336" s="14">
        <v>162.91999999999999</v>
      </c>
      <c r="N336" s="14">
        <v>162.91999999999999</v>
      </c>
      <c r="O336" s="14">
        <v>126.17</v>
      </c>
      <c r="P336" s="14">
        <v>126.17</v>
      </c>
      <c r="Q336" s="14">
        <v>126.17</v>
      </c>
      <c r="R336" s="14">
        <v>127.03</v>
      </c>
      <c r="S336" s="14">
        <v>127.03</v>
      </c>
      <c r="T336" s="14">
        <v>127.03</v>
      </c>
      <c r="U336" s="73">
        <f t="shared" si="199"/>
        <v>1681.23</v>
      </c>
      <c r="W336" s="49">
        <f t="shared" si="185"/>
        <v>2.6896952779716212</v>
      </c>
      <c r="X336" s="49">
        <f t="shared" si="186"/>
        <v>3.6896952779716212</v>
      </c>
      <c r="Y336" s="49">
        <f t="shared" si="187"/>
        <v>3.6896952779716212</v>
      </c>
      <c r="Z336" s="49">
        <f t="shared" si="188"/>
        <v>3.6092157731501997</v>
      </c>
      <c r="AA336" s="49">
        <f t="shared" si="189"/>
        <v>3.6092157731501997</v>
      </c>
      <c r="AB336" s="49">
        <f t="shared" si="190"/>
        <v>3.6092157731501997</v>
      </c>
      <c r="AC336" s="49">
        <f t="shared" si="191"/>
        <v>2.7950819672131151</v>
      </c>
      <c r="AD336" s="49">
        <f t="shared" si="192"/>
        <v>2.7950819672131151</v>
      </c>
      <c r="AE336" s="49">
        <f t="shared" si="193"/>
        <v>2.7950819672131151</v>
      </c>
      <c r="AF336" s="49">
        <f t="shared" si="194"/>
        <v>2.8141338059370851</v>
      </c>
      <c r="AG336" s="49">
        <f t="shared" si="195"/>
        <v>2.8141338059370851</v>
      </c>
      <c r="AH336" s="49">
        <f t="shared" si="196"/>
        <v>2.8141338059370851</v>
      </c>
      <c r="AI336" s="47">
        <f t="shared" si="183"/>
        <v>3.1436983727346717</v>
      </c>
      <c r="AJ336" s="134">
        <f t="shared" si="184"/>
        <v>37.724380472816058</v>
      </c>
      <c r="AK336"/>
    </row>
    <row r="337" spans="1:37" ht="15" x14ac:dyDescent="0.25">
      <c r="A337" s="40" t="str">
        <f t="shared" si="200"/>
        <v>allRecyclingCRY3YOC</v>
      </c>
      <c r="B337" s="1" t="str">
        <f t="shared" si="176"/>
        <v>VancRecyclingCRY3YOC</v>
      </c>
      <c r="C337" s="58" t="s">
        <v>510</v>
      </c>
      <c r="D337" s="58" t="s">
        <v>592</v>
      </c>
      <c r="E337" s="11">
        <v>45.84</v>
      </c>
      <c r="F337" s="11">
        <v>48.13</v>
      </c>
      <c r="G337" s="11">
        <v>48.13</v>
      </c>
      <c r="I337" s="14">
        <v>39.840000000000003</v>
      </c>
      <c r="J337" s="14">
        <v>39.840000000000003</v>
      </c>
      <c r="K337" s="14">
        <v>39.840000000000003</v>
      </c>
      <c r="L337" s="14">
        <v>41.83</v>
      </c>
      <c r="M337" s="14">
        <v>41.83</v>
      </c>
      <c r="N337" s="14">
        <v>41.83</v>
      </c>
      <c r="O337" s="14">
        <v>89.96</v>
      </c>
      <c r="P337" s="14">
        <v>89.96</v>
      </c>
      <c r="Q337" s="14">
        <v>89.96</v>
      </c>
      <c r="R337" s="14">
        <v>89.96</v>
      </c>
      <c r="S337" s="14">
        <v>89.96</v>
      </c>
      <c r="T337" s="14">
        <v>89.96</v>
      </c>
      <c r="U337" s="73">
        <f t="shared" si="199"/>
        <v>784.7700000000001</v>
      </c>
      <c r="W337" s="49">
        <f t="shared" si="185"/>
        <v>0.86910994764397909</v>
      </c>
      <c r="X337" s="49">
        <f t="shared" si="186"/>
        <v>0.86910994764397909</v>
      </c>
      <c r="Y337" s="49">
        <f t="shared" si="187"/>
        <v>0.86910994764397909</v>
      </c>
      <c r="Z337" s="49">
        <f t="shared" si="188"/>
        <v>0.86910450862248068</v>
      </c>
      <c r="AA337" s="49">
        <f t="shared" si="189"/>
        <v>0.86910450862248068</v>
      </c>
      <c r="AB337" s="49">
        <f t="shared" si="190"/>
        <v>0.86910450862248068</v>
      </c>
      <c r="AC337" s="49">
        <f t="shared" si="191"/>
        <v>1.8691045086224805</v>
      </c>
      <c r="AD337" s="49">
        <f t="shared" si="192"/>
        <v>1.8691045086224805</v>
      </c>
      <c r="AE337" s="49">
        <f t="shared" si="193"/>
        <v>1.8691045086224805</v>
      </c>
      <c r="AF337" s="49">
        <f t="shared" si="194"/>
        <v>1.8691045086224805</v>
      </c>
      <c r="AG337" s="49">
        <f t="shared" si="195"/>
        <v>1.8691045086224805</v>
      </c>
      <c r="AH337" s="49">
        <f t="shared" si="196"/>
        <v>1.8691045086224805</v>
      </c>
      <c r="AI337" s="47">
        <f t="shared" si="183"/>
        <v>1.3691058683778552</v>
      </c>
      <c r="AJ337" s="134">
        <f t="shared" si="184"/>
        <v>16.429270420534262</v>
      </c>
      <c r="AK337"/>
    </row>
    <row r="338" spans="1:37" ht="15" x14ac:dyDescent="0.25">
      <c r="A338" s="40" t="str">
        <f t="shared" si="200"/>
        <v>allRecyclingCRY4YOC</v>
      </c>
      <c r="B338" s="1" t="str">
        <f t="shared" ref="B338:B359" si="201">"Vanc"&amp;"Recycling"&amp;C338</f>
        <v>VancRecyclingCRY4YOC</v>
      </c>
      <c r="C338" s="58" t="s">
        <v>511</v>
      </c>
      <c r="D338" s="58" t="s">
        <v>593</v>
      </c>
      <c r="E338" s="11">
        <v>54.43</v>
      </c>
      <c r="F338" s="11">
        <v>57.149999999999991</v>
      </c>
      <c r="G338" s="11">
        <v>57.149999999999991</v>
      </c>
      <c r="I338" s="14">
        <v>243.44</v>
      </c>
      <c r="J338" s="14">
        <v>198.58</v>
      </c>
      <c r="K338" s="14">
        <v>198.58</v>
      </c>
      <c r="L338" s="14">
        <v>208.5</v>
      </c>
      <c r="M338" s="14">
        <v>265.64999999999998</v>
      </c>
      <c r="N338" s="14">
        <v>265.64999999999998</v>
      </c>
      <c r="O338" s="14">
        <v>265.64999999999998</v>
      </c>
      <c r="P338" s="14">
        <v>265.64999999999998</v>
      </c>
      <c r="Q338" s="14">
        <v>265.64999999999998</v>
      </c>
      <c r="R338" s="14">
        <v>265.64999999999998</v>
      </c>
      <c r="S338" s="14">
        <v>265.64999999999998</v>
      </c>
      <c r="T338" s="14">
        <v>305.66000000000003</v>
      </c>
      <c r="U338" s="73">
        <f t="shared" si="199"/>
        <v>3014.3100000000004</v>
      </c>
      <c r="W338" s="49">
        <f t="shared" si="185"/>
        <v>4.4725335293036927</v>
      </c>
      <c r="X338" s="49">
        <f t="shared" si="186"/>
        <v>3.648355686202462</v>
      </c>
      <c r="Y338" s="49">
        <f t="shared" si="187"/>
        <v>3.648355686202462</v>
      </c>
      <c r="Z338" s="49">
        <f t="shared" si="188"/>
        <v>3.6482939632545937</v>
      </c>
      <c r="AA338" s="49">
        <f t="shared" si="189"/>
        <v>4.6482939632545932</v>
      </c>
      <c r="AB338" s="49">
        <f t="shared" si="190"/>
        <v>4.6482939632545932</v>
      </c>
      <c r="AC338" s="49">
        <f t="shared" si="191"/>
        <v>4.6482939632545932</v>
      </c>
      <c r="AD338" s="49">
        <f t="shared" si="192"/>
        <v>4.6482939632545932</v>
      </c>
      <c r="AE338" s="49">
        <f t="shared" si="193"/>
        <v>4.6482939632545932</v>
      </c>
      <c r="AF338" s="49">
        <f t="shared" si="194"/>
        <v>4.6482939632545932</v>
      </c>
      <c r="AG338" s="49">
        <f t="shared" si="195"/>
        <v>4.6482939632545932</v>
      </c>
      <c r="AH338" s="49">
        <f t="shared" si="196"/>
        <v>5.3483814523184616</v>
      </c>
      <c r="AI338" s="47">
        <f t="shared" si="183"/>
        <v>4.4419981716719859</v>
      </c>
      <c r="AJ338" s="134">
        <f t="shared" si="184"/>
        <v>53.303978060063834</v>
      </c>
      <c r="AK338"/>
    </row>
    <row r="339" spans="1:37" ht="15" x14ac:dyDescent="0.25">
      <c r="A339" s="40" t="str">
        <f t="shared" si="200"/>
        <v>allRecyclingCRY6YOC</v>
      </c>
      <c r="B339" s="1" t="str">
        <f t="shared" si="201"/>
        <v>VancRecyclingCRY6YOC</v>
      </c>
      <c r="C339" s="58" t="s">
        <v>512</v>
      </c>
      <c r="D339" s="58" t="s">
        <v>594</v>
      </c>
      <c r="E339" s="11">
        <v>57.32</v>
      </c>
      <c r="F339" s="11">
        <v>60.190000000000005</v>
      </c>
      <c r="G339" s="11">
        <v>60.190000000000005</v>
      </c>
      <c r="I339" s="14">
        <v>0</v>
      </c>
      <c r="J339" s="14">
        <v>0</v>
      </c>
      <c r="K339" s="14">
        <v>0</v>
      </c>
      <c r="L339" s="14">
        <v>0</v>
      </c>
      <c r="M339" s="14">
        <v>0</v>
      </c>
      <c r="N339" s="14">
        <v>0</v>
      </c>
      <c r="O339" s="14">
        <v>0</v>
      </c>
      <c r="P339" s="14">
        <v>0</v>
      </c>
      <c r="Q339" s="14">
        <v>0</v>
      </c>
      <c r="R339" s="14">
        <v>60.19</v>
      </c>
      <c r="S339" s="14">
        <v>60.19</v>
      </c>
      <c r="T339" s="14">
        <v>60.19</v>
      </c>
      <c r="U339" s="73">
        <f t="shared" si="199"/>
        <v>180.57</v>
      </c>
      <c r="W339" s="49">
        <f t="shared" si="185"/>
        <v>0</v>
      </c>
      <c r="X339" s="49">
        <f t="shared" si="186"/>
        <v>0</v>
      </c>
      <c r="Y339" s="49">
        <f t="shared" si="187"/>
        <v>0</v>
      </c>
      <c r="Z339" s="49">
        <f t="shared" si="188"/>
        <v>0</v>
      </c>
      <c r="AA339" s="49">
        <f t="shared" si="189"/>
        <v>0</v>
      </c>
      <c r="AB339" s="49">
        <f t="shared" si="190"/>
        <v>0</v>
      </c>
      <c r="AC339" s="49">
        <f t="shared" si="191"/>
        <v>0</v>
      </c>
      <c r="AD339" s="49">
        <f t="shared" si="192"/>
        <v>0</v>
      </c>
      <c r="AE339" s="49">
        <f t="shared" si="193"/>
        <v>0</v>
      </c>
      <c r="AF339" s="49">
        <f t="shared" si="194"/>
        <v>0.99999999999999989</v>
      </c>
      <c r="AG339" s="49">
        <f t="shared" si="195"/>
        <v>0.99999999999999989</v>
      </c>
      <c r="AH339" s="49">
        <f t="shared" si="196"/>
        <v>0.99999999999999989</v>
      </c>
      <c r="AI339" s="47">
        <f t="shared" si="183"/>
        <v>0.24999999999999997</v>
      </c>
      <c r="AJ339" s="134">
        <f t="shared" si="184"/>
        <v>2.9999999999999996</v>
      </c>
      <c r="AK339"/>
    </row>
    <row r="340" spans="1:37" ht="15" x14ac:dyDescent="0.25">
      <c r="A340" s="40" t="str">
        <f t="shared" si="200"/>
        <v>allRecyclingCRY8YOC</v>
      </c>
      <c r="B340" s="1" t="str">
        <f t="shared" si="201"/>
        <v>VancRecyclingCRY8YOC</v>
      </c>
      <c r="C340" s="58" t="s">
        <v>652</v>
      </c>
      <c r="D340" s="58" t="s">
        <v>656</v>
      </c>
      <c r="E340" s="11">
        <v>63.04</v>
      </c>
      <c r="F340" s="11">
        <v>66.19</v>
      </c>
      <c r="G340" s="11">
        <v>66.19</v>
      </c>
      <c r="I340" s="14">
        <v>63.04</v>
      </c>
      <c r="J340" s="14">
        <v>63.04</v>
      </c>
      <c r="K340" s="14">
        <v>63.04</v>
      </c>
      <c r="L340" s="14">
        <v>66.19</v>
      </c>
      <c r="M340" s="14">
        <v>66.19</v>
      </c>
      <c r="N340" s="14">
        <v>66.19</v>
      </c>
      <c r="O340" s="14">
        <v>66.19</v>
      </c>
      <c r="P340" s="14">
        <v>66.19</v>
      </c>
      <c r="Q340" s="14">
        <v>66.19</v>
      </c>
      <c r="R340" s="14">
        <v>0</v>
      </c>
      <c r="S340" s="14">
        <v>0</v>
      </c>
      <c r="T340" s="14">
        <v>0</v>
      </c>
      <c r="U340" s="73">
        <f t="shared" si="199"/>
        <v>586.26</v>
      </c>
      <c r="W340" s="49">
        <f t="shared" si="185"/>
        <v>1</v>
      </c>
      <c r="X340" s="49">
        <f t="shared" si="186"/>
        <v>1</v>
      </c>
      <c r="Y340" s="49">
        <f t="shared" si="187"/>
        <v>1</v>
      </c>
      <c r="Z340" s="49">
        <f t="shared" si="188"/>
        <v>1</v>
      </c>
      <c r="AA340" s="49">
        <f t="shared" si="189"/>
        <v>1</v>
      </c>
      <c r="AB340" s="49">
        <f t="shared" si="190"/>
        <v>1</v>
      </c>
      <c r="AC340" s="49">
        <f t="shared" si="191"/>
        <v>1</v>
      </c>
      <c r="AD340" s="49">
        <f t="shared" si="192"/>
        <v>1</v>
      </c>
      <c r="AE340" s="49">
        <f t="shared" si="193"/>
        <v>1</v>
      </c>
      <c r="AF340" s="49">
        <f t="shared" si="194"/>
        <v>0</v>
      </c>
      <c r="AG340" s="49">
        <f t="shared" si="195"/>
        <v>0</v>
      </c>
      <c r="AH340" s="49">
        <f t="shared" si="196"/>
        <v>0</v>
      </c>
      <c r="AI340" s="47">
        <f t="shared" si="183"/>
        <v>0.75</v>
      </c>
      <c r="AJ340" s="134">
        <f t="shared" si="184"/>
        <v>9</v>
      </c>
      <c r="AK340"/>
    </row>
    <row r="341" spans="1:37" ht="15" x14ac:dyDescent="0.25">
      <c r="A341" s="40" t="str">
        <f t="shared" si="200"/>
        <v>allRecycling0CRYEX1.5YD</v>
      </c>
      <c r="B341" s="1" t="str">
        <f t="shared" si="201"/>
        <v>VancRecycling0CRYEX1.5YD</v>
      </c>
      <c r="C341" s="58" t="s">
        <v>499</v>
      </c>
      <c r="D341" s="58" t="s">
        <v>581</v>
      </c>
      <c r="E341" s="11">
        <v>33.18</v>
      </c>
      <c r="F341" s="11">
        <v>34.839999999999996</v>
      </c>
      <c r="G341" s="11">
        <v>34.839999999999996</v>
      </c>
      <c r="I341" s="14">
        <v>0</v>
      </c>
      <c r="J341" s="14">
        <v>0</v>
      </c>
      <c r="K341" s="14">
        <v>0</v>
      </c>
      <c r="L341" s="14">
        <v>0</v>
      </c>
      <c r="M341" s="14">
        <v>0</v>
      </c>
      <c r="N341" s="14">
        <v>69.680000000000007</v>
      </c>
      <c r="O341" s="14">
        <v>0</v>
      </c>
      <c r="P341" s="14">
        <v>0</v>
      </c>
      <c r="Q341" s="14">
        <v>0</v>
      </c>
      <c r="R341" s="14">
        <v>34.840000000000003</v>
      </c>
      <c r="S341" s="14">
        <v>278.72000000000003</v>
      </c>
      <c r="T341" s="14">
        <v>0</v>
      </c>
      <c r="U341" s="73">
        <f t="shared" si="199"/>
        <v>383.24</v>
      </c>
      <c r="W341" s="49">
        <f t="shared" si="185"/>
        <v>0</v>
      </c>
      <c r="X341" s="49">
        <f t="shared" si="186"/>
        <v>0</v>
      </c>
      <c r="Y341" s="49">
        <f t="shared" si="187"/>
        <v>0</v>
      </c>
      <c r="Z341" s="49">
        <f t="shared" si="188"/>
        <v>0</v>
      </c>
      <c r="AA341" s="49">
        <f t="shared" si="189"/>
        <v>0</v>
      </c>
      <c r="AB341" s="49">
        <f t="shared" si="190"/>
        <v>2.0000000000000004</v>
      </c>
      <c r="AC341" s="49">
        <f t="shared" si="191"/>
        <v>0</v>
      </c>
      <c r="AD341" s="49">
        <f t="shared" si="192"/>
        <v>0</v>
      </c>
      <c r="AE341" s="49">
        <f t="shared" si="193"/>
        <v>0</v>
      </c>
      <c r="AF341" s="49">
        <f t="shared" si="194"/>
        <v>1.0000000000000002</v>
      </c>
      <c r="AG341" s="49">
        <f t="shared" si="195"/>
        <v>8.0000000000000018</v>
      </c>
      <c r="AH341" s="49">
        <f t="shared" si="196"/>
        <v>0</v>
      </c>
      <c r="AI341" s="47">
        <f t="shared" si="183"/>
        <v>0.91666666666666696</v>
      </c>
      <c r="AJ341" s="134">
        <f t="shared" si="184"/>
        <v>11.000000000000004</v>
      </c>
      <c r="AK341"/>
    </row>
    <row r="342" spans="1:37" ht="15" x14ac:dyDescent="0.25">
      <c r="A342" s="40" t="str">
        <f t="shared" si="200"/>
        <v>allRecycling0CRYEX90</v>
      </c>
      <c r="B342" s="1" t="str">
        <f t="shared" si="201"/>
        <v>VancRecycling0CRYEX90</v>
      </c>
      <c r="C342" s="58" t="s">
        <v>500</v>
      </c>
      <c r="D342" s="58" t="s">
        <v>582</v>
      </c>
      <c r="E342" s="11">
        <v>24.9</v>
      </c>
      <c r="F342" s="11">
        <v>26.150000000000002</v>
      </c>
      <c r="G342" s="11">
        <v>26.150000000000002</v>
      </c>
      <c r="I342" s="14">
        <v>0</v>
      </c>
      <c r="J342" s="14">
        <v>0</v>
      </c>
      <c r="K342" s="14">
        <v>0</v>
      </c>
      <c r="L342" s="14">
        <v>0</v>
      </c>
      <c r="M342" s="14">
        <v>0</v>
      </c>
      <c r="N342" s="14">
        <v>0</v>
      </c>
      <c r="O342" s="14">
        <v>0</v>
      </c>
      <c r="P342" s="14">
        <v>52.3</v>
      </c>
      <c r="Q342" s="14">
        <v>26.15</v>
      </c>
      <c r="R342" s="14">
        <v>26.15</v>
      </c>
      <c r="S342" s="14">
        <v>-26.15</v>
      </c>
      <c r="T342" s="14">
        <v>0</v>
      </c>
      <c r="U342" s="73">
        <f t="shared" si="199"/>
        <v>78.449999999999989</v>
      </c>
      <c r="W342" s="49">
        <f t="shared" si="185"/>
        <v>0</v>
      </c>
      <c r="X342" s="49">
        <f t="shared" si="186"/>
        <v>0</v>
      </c>
      <c r="Y342" s="49">
        <f t="shared" si="187"/>
        <v>0</v>
      </c>
      <c r="Z342" s="49">
        <f t="shared" si="188"/>
        <v>0</v>
      </c>
      <c r="AA342" s="49">
        <f t="shared" si="189"/>
        <v>0</v>
      </c>
      <c r="AB342" s="49">
        <f t="shared" si="190"/>
        <v>0</v>
      </c>
      <c r="AC342" s="49">
        <f t="shared" si="191"/>
        <v>0</v>
      </c>
      <c r="AD342" s="49">
        <f t="shared" si="192"/>
        <v>1.9999999999999998</v>
      </c>
      <c r="AE342" s="49">
        <f t="shared" si="193"/>
        <v>0.99999999999999989</v>
      </c>
      <c r="AF342" s="49">
        <f t="shared" si="194"/>
        <v>0.99999999999999989</v>
      </c>
      <c r="AG342" s="49">
        <f t="shared" si="195"/>
        <v>-0.99999999999999989</v>
      </c>
      <c r="AH342" s="49">
        <f t="shared" si="196"/>
        <v>0</v>
      </c>
      <c r="AI342" s="47">
        <f t="shared" si="183"/>
        <v>0.24999999999999997</v>
      </c>
      <c r="AJ342" s="134">
        <f t="shared" si="184"/>
        <v>2.9999999999999996</v>
      </c>
      <c r="AK342"/>
    </row>
    <row r="343" spans="1:37" ht="15" x14ac:dyDescent="0.25">
      <c r="A343" s="40" t="str">
        <f t="shared" si="200"/>
        <v>allRecycling0CRYEX1YD</v>
      </c>
      <c r="B343" s="1" t="str">
        <f t="shared" si="201"/>
        <v>VancRecycling0CRYEX1YD</v>
      </c>
      <c r="C343" s="58" t="s">
        <v>501</v>
      </c>
      <c r="D343" s="58" t="s">
        <v>583</v>
      </c>
      <c r="E343" s="11">
        <v>33.18</v>
      </c>
      <c r="F343" s="11">
        <v>34.839999999999996</v>
      </c>
      <c r="G343" s="11">
        <v>34.839999999999996</v>
      </c>
      <c r="I343" s="14">
        <v>0</v>
      </c>
      <c r="J343" s="14">
        <v>0</v>
      </c>
      <c r="K343" s="14">
        <v>0</v>
      </c>
      <c r="L343" s="14">
        <v>0</v>
      </c>
      <c r="M343" s="14">
        <v>0</v>
      </c>
      <c r="N343" s="14">
        <v>0</v>
      </c>
      <c r="O343" s="14">
        <v>0</v>
      </c>
      <c r="P343" s="14">
        <v>0</v>
      </c>
      <c r="Q343" s="14">
        <v>0</v>
      </c>
      <c r="R343" s="14">
        <v>0</v>
      </c>
      <c r="S343" s="14">
        <v>0</v>
      </c>
      <c r="T343" s="14">
        <v>0</v>
      </c>
      <c r="U343" s="73">
        <f t="shared" si="199"/>
        <v>0</v>
      </c>
      <c r="W343" s="49">
        <f t="shared" si="185"/>
        <v>0</v>
      </c>
      <c r="X343" s="49">
        <f t="shared" si="186"/>
        <v>0</v>
      </c>
      <c r="Y343" s="49">
        <f t="shared" si="187"/>
        <v>0</v>
      </c>
      <c r="Z343" s="49">
        <f t="shared" si="188"/>
        <v>0</v>
      </c>
      <c r="AA343" s="49">
        <f t="shared" si="189"/>
        <v>0</v>
      </c>
      <c r="AB343" s="49">
        <f t="shared" si="190"/>
        <v>0</v>
      </c>
      <c r="AC343" s="49">
        <f t="shared" si="191"/>
        <v>0</v>
      </c>
      <c r="AD343" s="49">
        <f t="shared" si="192"/>
        <v>0</v>
      </c>
      <c r="AE343" s="49">
        <f t="shared" si="193"/>
        <v>0</v>
      </c>
      <c r="AF343" s="49">
        <f t="shared" si="194"/>
        <v>0</v>
      </c>
      <c r="AG343" s="49">
        <f t="shared" si="195"/>
        <v>0</v>
      </c>
      <c r="AH343" s="49">
        <f t="shared" si="196"/>
        <v>0</v>
      </c>
      <c r="AI343" s="47">
        <f t="shared" si="183"/>
        <v>0</v>
      </c>
      <c r="AJ343" s="134">
        <f t="shared" si="184"/>
        <v>0</v>
      </c>
      <c r="AK343"/>
    </row>
    <row r="344" spans="1:37" ht="15" x14ac:dyDescent="0.25">
      <c r="A344" s="40" t="str">
        <f t="shared" si="200"/>
        <v>allRecycling0CRYEX902</v>
      </c>
      <c r="B344" s="1" t="str">
        <f t="shared" si="201"/>
        <v>VancRecycling0CRYEX902</v>
      </c>
      <c r="C344" s="58" t="s">
        <v>887</v>
      </c>
      <c r="D344" s="58" t="s">
        <v>899</v>
      </c>
      <c r="E344" s="11">
        <v>29.89</v>
      </c>
      <c r="F344" s="11">
        <v>31.380000000000003</v>
      </c>
      <c r="G344" s="11">
        <v>31.380000000000003</v>
      </c>
      <c r="I344" s="14">
        <v>0</v>
      </c>
      <c r="J344" s="14">
        <v>0</v>
      </c>
      <c r="K344" s="14">
        <v>0</v>
      </c>
      <c r="L344" s="14">
        <v>0</v>
      </c>
      <c r="M344" s="14">
        <v>0</v>
      </c>
      <c r="N344" s="14">
        <v>0</v>
      </c>
      <c r="O344" s="14">
        <v>0</v>
      </c>
      <c r="P344" s="14">
        <v>0</v>
      </c>
      <c r="Q344" s="14">
        <v>0</v>
      </c>
      <c r="R344" s="14">
        <v>0</v>
      </c>
      <c r="S344" s="14">
        <v>0</v>
      </c>
      <c r="T344" s="14">
        <v>0</v>
      </c>
      <c r="U344" s="73">
        <f t="shared" si="199"/>
        <v>0</v>
      </c>
      <c r="W344" s="49">
        <f t="shared" si="185"/>
        <v>0</v>
      </c>
      <c r="X344" s="49">
        <f t="shared" si="186"/>
        <v>0</v>
      </c>
      <c r="Y344" s="49">
        <f t="shared" si="187"/>
        <v>0</v>
      </c>
      <c r="Z344" s="49">
        <f t="shared" si="188"/>
        <v>0</v>
      </c>
      <c r="AA344" s="49">
        <f t="shared" si="189"/>
        <v>0</v>
      </c>
      <c r="AB344" s="49">
        <f t="shared" si="190"/>
        <v>0</v>
      </c>
      <c r="AC344" s="49">
        <f t="shared" si="191"/>
        <v>0</v>
      </c>
      <c r="AD344" s="49">
        <f t="shared" si="192"/>
        <v>0</v>
      </c>
      <c r="AE344" s="49">
        <f t="shared" si="193"/>
        <v>0</v>
      </c>
      <c r="AF344" s="49">
        <f t="shared" si="194"/>
        <v>0</v>
      </c>
      <c r="AG344" s="49">
        <f t="shared" si="195"/>
        <v>0</v>
      </c>
      <c r="AH344" s="49">
        <f t="shared" si="196"/>
        <v>0</v>
      </c>
      <c r="AI344" s="47">
        <f t="shared" si="183"/>
        <v>0</v>
      </c>
      <c r="AJ344" s="134">
        <f t="shared" si="184"/>
        <v>0</v>
      </c>
      <c r="AK344"/>
    </row>
    <row r="345" spans="1:37" ht="15" x14ac:dyDescent="0.25">
      <c r="A345" s="40" t="str">
        <f t="shared" si="200"/>
        <v>allRecycling0CRYEX2YD</v>
      </c>
      <c r="B345" s="1" t="str">
        <f t="shared" si="201"/>
        <v>VancRecycling0CRYEX2YD</v>
      </c>
      <c r="C345" s="58" t="s">
        <v>502</v>
      </c>
      <c r="D345" s="58" t="s">
        <v>584</v>
      </c>
      <c r="E345" s="11">
        <v>36.520000000000003</v>
      </c>
      <c r="F345" s="11">
        <v>38.35</v>
      </c>
      <c r="G345" s="11">
        <v>38.35</v>
      </c>
      <c r="I345" s="14">
        <v>72.040000000000006</v>
      </c>
      <c r="J345" s="14">
        <v>102.77</v>
      </c>
      <c r="K345" s="14">
        <v>174.81</v>
      </c>
      <c r="L345" s="14">
        <v>151.83000000000001</v>
      </c>
      <c r="M345" s="14">
        <v>104.55</v>
      </c>
      <c r="N345" s="14">
        <v>207.81</v>
      </c>
      <c r="O345" s="14">
        <v>72.040000000000006</v>
      </c>
      <c r="P345" s="14">
        <v>38.35</v>
      </c>
      <c r="Q345" s="14">
        <v>37.31</v>
      </c>
      <c r="R345" s="14">
        <v>36.880000000000003</v>
      </c>
      <c r="S345" s="14">
        <v>74.19</v>
      </c>
      <c r="T345" s="14">
        <v>225.08</v>
      </c>
      <c r="U345" s="73">
        <f t="shared" si="199"/>
        <v>1297.6599999999999</v>
      </c>
      <c r="W345" s="49">
        <f t="shared" si="185"/>
        <v>1.9726177437020811</v>
      </c>
      <c r="X345" s="49">
        <f t="shared" si="186"/>
        <v>2.8140744797371302</v>
      </c>
      <c r="Y345" s="49">
        <f t="shared" si="187"/>
        <v>4.7866922234392106</v>
      </c>
      <c r="Z345" s="49">
        <f t="shared" si="188"/>
        <v>3.9590612777053455</v>
      </c>
      <c r="AA345" s="49">
        <f t="shared" si="189"/>
        <v>2.7262059973924377</v>
      </c>
      <c r="AB345" s="49">
        <f t="shared" si="190"/>
        <v>5.4187744458930895</v>
      </c>
      <c r="AC345" s="49">
        <f t="shared" si="191"/>
        <v>1.8784876140808344</v>
      </c>
      <c r="AD345" s="49">
        <f t="shared" si="192"/>
        <v>1</v>
      </c>
      <c r="AE345" s="49">
        <f t="shared" si="193"/>
        <v>0.97288135593220337</v>
      </c>
      <c r="AF345" s="49">
        <f t="shared" si="194"/>
        <v>0.96166883963494132</v>
      </c>
      <c r="AG345" s="49">
        <f t="shared" si="195"/>
        <v>1.9345501955671447</v>
      </c>
      <c r="AH345" s="49">
        <f t="shared" si="196"/>
        <v>5.8691003911342898</v>
      </c>
      <c r="AI345" s="47">
        <f t="shared" si="183"/>
        <v>2.857842880351559</v>
      </c>
      <c r="AJ345" s="134">
        <f t="shared" si="184"/>
        <v>34.29411456421871</v>
      </c>
      <c r="AK345"/>
    </row>
    <row r="346" spans="1:37" ht="15" x14ac:dyDescent="0.25">
      <c r="A346" s="40" t="str">
        <f>"all"&amp;"Recycling"&amp;C346</f>
        <v>allRecycling0CRYEX3YD</v>
      </c>
      <c r="B346" s="1" t="str">
        <f>"Vanc"&amp;"Recycling"&amp;C346</f>
        <v>VancRecycling0CRYEX3YD</v>
      </c>
      <c r="C346" s="289" t="s">
        <v>503</v>
      </c>
      <c r="D346" s="289" t="s">
        <v>585</v>
      </c>
      <c r="E346" s="290">
        <v>40.68</v>
      </c>
      <c r="F346" s="11">
        <v>42.709999999999994</v>
      </c>
      <c r="G346" s="11">
        <v>42.709999999999994</v>
      </c>
      <c r="I346" s="14">
        <v>0</v>
      </c>
      <c r="J346" s="14">
        <v>0</v>
      </c>
      <c r="K346" s="14">
        <v>0</v>
      </c>
      <c r="L346" s="14">
        <v>0</v>
      </c>
      <c r="M346" s="14">
        <v>42.71</v>
      </c>
      <c r="N346" s="14">
        <v>0</v>
      </c>
      <c r="O346" s="14">
        <v>42.71</v>
      </c>
      <c r="P346" s="14">
        <v>85.42</v>
      </c>
      <c r="Q346" s="14">
        <v>128.13</v>
      </c>
      <c r="R346" s="14">
        <v>128.13</v>
      </c>
      <c r="S346" s="14">
        <v>0</v>
      </c>
      <c r="T346" s="14">
        <v>85.42</v>
      </c>
      <c r="U346" s="73">
        <f>SUM(I346:T346)</f>
        <v>512.52</v>
      </c>
      <c r="W346" s="49">
        <f t="shared" si="185"/>
        <v>0</v>
      </c>
      <c r="X346" s="49">
        <f t="shared" si="186"/>
        <v>0</v>
      </c>
      <c r="Y346" s="49">
        <f t="shared" si="187"/>
        <v>0</v>
      </c>
      <c r="Z346" s="49">
        <f t="shared" si="188"/>
        <v>0</v>
      </c>
      <c r="AA346" s="49">
        <f t="shared" si="189"/>
        <v>1.0000000000000002</v>
      </c>
      <c r="AB346" s="49">
        <f t="shared" si="190"/>
        <v>0</v>
      </c>
      <c r="AC346" s="49">
        <f t="shared" si="191"/>
        <v>1.0000000000000002</v>
      </c>
      <c r="AD346" s="49">
        <f t="shared" si="192"/>
        <v>2.0000000000000004</v>
      </c>
      <c r="AE346" s="49">
        <f t="shared" si="193"/>
        <v>3.0000000000000004</v>
      </c>
      <c r="AF346" s="49">
        <f t="shared" si="194"/>
        <v>3.0000000000000004</v>
      </c>
      <c r="AG346" s="49">
        <f t="shared" si="195"/>
        <v>0</v>
      </c>
      <c r="AH346" s="49">
        <f t="shared" si="196"/>
        <v>2.0000000000000004</v>
      </c>
      <c r="AI346" s="47">
        <f>+IFERROR(AVERAGE(W346:AH346),0)</f>
        <v>1.0000000000000002</v>
      </c>
      <c r="AJ346" s="134">
        <f>SUM(W346:AH346)</f>
        <v>12.000000000000002</v>
      </c>
      <c r="AK346"/>
    </row>
    <row r="347" spans="1:37" ht="15" x14ac:dyDescent="0.25">
      <c r="A347" s="40" t="str">
        <f t="shared" si="200"/>
        <v>allRecycling0CRYEX4YD</v>
      </c>
      <c r="B347" s="1" t="str">
        <f t="shared" si="201"/>
        <v>VancRecycling0CRYEX4YD</v>
      </c>
      <c r="C347" s="289" t="s">
        <v>504</v>
      </c>
      <c r="D347" s="289" t="s">
        <v>586</v>
      </c>
      <c r="E347" s="290">
        <v>41.5</v>
      </c>
      <c r="F347" s="11">
        <v>43.579999999999991</v>
      </c>
      <c r="G347" s="11">
        <v>43.579999999999991</v>
      </c>
      <c r="I347" s="14">
        <v>83</v>
      </c>
      <c r="J347" s="14">
        <v>41.5</v>
      </c>
      <c r="K347" s="14">
        <v>83</v>
      </c>
      <c r="L347" s="14">
        <v>43.58</v>
      </c>
      <c r="M347" s="14">
        <v>261.48</v>
      </c>
      <c r="N347" s="14">
        <v>217.9</v>
      </c>
      <c r="O347" s="14">
        <v>217.9</v>
      </c>
      <c r="P347" s="14">
        <v>130.74</v>
      </c>
      <c r="Q347" s="14">
        <v>43.58</v>
      </c>
      <c r="R347" s="14">
        <v>87.16</v>
      </c>
      <c r="S347" s="14">
        <v>130.74</v>
      </c>
      <c r="T347" s="14">
        <v>43.58</v>
      </c>
      <c r="U347" s="73">
        <f t="shared" si="199"/>
        <v>1384.1599999999999</v>
      </c>
      <c r="W347" s="49">
        <f t="shared" si="185"/>
        <v>2</v>
      </c>
      <c r="X347" s="49">
        <f t="shared" si="186"/>
        <v>1</v>
      </c>
      <c r="Y347" s="49">
        <f t="shared" si="187"/>
        <v>2</v>
      </c>
      <c r="Z347" s="49">
        <f t="shared" si="188"/>
        <v>1.0000000000000002</v>
      </c>
      <c r="AA347" s="49">
        <f t="shared" si="189"/>
        <v>6.0000000000000018</v>
      </c>
      <c r="AB347" s="49">
        <f t="shared" si="190"/>
        <v>5.0000000000000009</v>
      </c>
      <c r="AC347" s="49">
        <f t="shared" si="191"/>
        <v>5.0000000000000009</v>
      </c>
      <c r="AD347" s="49">
        <f t="shared" si="192"/>
        <v>3.0000000000000009</v>
      </c>
      <c r="AE347" s="49">
        <f t="shared" si="193"/>
        <v>1.0000000000000002</v>
      </c>
      <c r="AF347" s="49">
        <f t="shared" si="194"/>
        <v>2.0000000000000004</v>
      </c>
      <c r="AG347" s="49">
        <f t="shared" si="195"/>
        <v>3.0000000000000009</v>
      </c>
      <c r="AH347" s="49">
        <f t="shared" si="196"/>
        <v>1.0000000000000002</v>
      </c>
      <c r="AI347" s="47">
        <f t="shared" si="183"/>
        <v>2.6666666666666674</v>
      </c>
      <c r="AJ347" s="134">
        <f t="shared" si="184"/>
        <v>32.000000000000007</v>
      </c>
      <c r="AK347"/>
    </row>
    <row r="348" spans="1:37" ht="15" x14ac:dyDescent="0.25">
      <c r="A348" s="40" t="str">
        <f t="shared" si="200"/>
        <v>allRecycling0CRYEX5YD</v>
      </c>
      <c r="B348" s="1" t="str">
        <f t="shared" si="201"/>
        <v>VancRecycling0CRYEX5YD</v>
      </c>
      <c r="C348" s="289" t="s">
        <v>505</v>
      </c>
      <c r="D348" s="289" t="s">
        <v>587</v>
      </c>
      <c r="E348" s="290">
        <v>40.98</v>
      </c>
      <c r="F348" s="11">
        <v>43.029999999999987</v>
      </c>
      <c r="G348" s="11">
        <v>43.029999999999987</v>
      </c>
      <c r="I348" s="14">
        <v>0</v>
      </c>
      <c r="J348" s="14">
        <v>0</v>
      </c>
      <c r="K348" s="14">
        <v>0</v>
      </c>
      <c r="L348" s="14">
        <v>0</v>
      </c>
      <c r="M348" s="14">
        <v>0</v>
      </c>
      <c r="N348" s="14">
        <v>0</v>
      </c>
      <c r="O348" s="14">
        <v>0</v>
      </c>
      <c r="P348" s="14">
        <v>43.03</v>
      </c>
      <c r="Q348" s="14">
        <v>0</v>
      </c>
      <c r="R348" s="14">
        <v>0</v>
      </c>
      <c r="S348" s="14">
        <v>0</v>
      </c>
      <c r="T348" s="14">
        <v>0</v>
      </c>
      <c r="U348" s="73">
        <f t="shared" si="199"/>
        <v>43.03</v>
      </c>
      <c r="W348" s="49">
        <f t="shared" si="185"/>
        <v>0</v>
      </c>
      <c r="X348" s="49">
        <f t="shared" si="186"/>
        <v>0</v>
      </c>
      <c r="Y348" s="49">
        <f t="shared" si="187"/>
        <v>0</v>
      </c>
      <c r="Z348" s="49">
        <f t="shared" si="188"/>
        <v>0</v>
      </c>
      <c r="AA348" s="49">
        <f t="shared" si="189"/>
        <v>0</v>
      </c>
      <c r="AB348" s="49">
        <f t="shared" si="190"/>
        <v>0</v>
      </c>
      <c r="AC348" s="49">
        <f t="shared" si="191"/>
        <v>0</v>
      </c>
      <c r="AD348" s="49">
        <f t="shared" si="192"/>
        <v>1.0000000000000002</v>
      </c>
      <c r="AE348" s="49">
        <f t="shared" si="193"/>
        <v>0</v>
      </c>
      <c r="AF348" s="49">
        <f t="shared" si="194"/>
        <v>0</v>
      </c>
      <c r="AG348" s="49">
        <f t="shared" si="195"/>
        <v>0</v>
      </c>
      <c r="AH348" s="49">
        <f t="shared" si="196"/>
        <v>0</v>
      </c>
      <c r="AI348" s="47">
        <f t="shared" si="183"/>
        <v>8.3333333333333356E-2</v>
      </c>
      <c r="AJ348" s="134">
        <f t="shared" si="184"/>
        <v>1.0000000000000002</v>
      </c>
      <c r="AK348"/>
    </row>
    <row r="349" spans="1:37" ht="15" x14ac:dyDescent="0.25">
      <c r="A349" s="40" t="str">
        <f t="shared" si="200"/>
        <v>allRecycling0CRYEX6YD</v>
      </c>
      <c r="B349" s="1" t="str">
        <f t="shared" si="201"/>
        <v>VancRecycling0CRYEX6YD</v>
      </c>
      <c r="C349" s="289" t="s">
        <v>506</v>
      </c>
      <c r="D349" s="289" t="s">
        <v>588</v>
      </c>
      <c r="E349" s="290">
        <v>44.8</v>
      </c>
      <c r="F349" s="11">
        <v>47.040000000000006</v>
      </c>
      <c r="G349" s="11">
        <v>47.040000000000006</v>
      </c>
      <c r="I349" s="14">
        <v>0</v>
      </c>
      <c r="J349" s="14">
        <v>44.8</v>
      </c>
      <c r="K349" s="14">
        <v>44.8</v>
      </c>
      <c r="L349" s="14">
        <v>47.04</v>
      </c>
      <c r="M349" s="14">
        <v>47.04</v>
      </c>
      <c r="N349" s="14">
        <v>0</v>
      </c>
      <c r="O349" s="14">
        <v>0</v>
      </c>
      <c r="P349" s="14">
        <v>47.04</v>
      </c>
      <c r="Q349" s="14">
        <v>47.04</v>
      </c>
      <c r="R349" s="14">
        <v>0</v>
      </c>
      <c r="S349" s="14">
        <v>0</v>
      </c>
      <c r="T349" s="14">
        <v>47.04</v>
      </c>
      <c r="U349" s="73">
        <f t="shared" si="199"/>
        <v>324.8</v>
      </c>
      <c r="W349" s="49">
        <f t="shared" si="185"/>
        <v>0</v>
      </c>
      <c r="X349" s="49">
        <f t="shared" si="186"/>
        <v>1</v>
      </c>
      <c r="Y349" s="49">
        <f t="shared" si="187"/>
        <v>1</v>
      </c>
      <c r="Z349" s="49">
        <f t="shared" si="188"/>
        <v>0.99999999999999989</v>
      </c>
      <c r="AA349" s="49">
        <f t="shared" si="189"/>
        <v>0.99999999999999989</v>
      </c>
      <c r="AB349" s="49">
        <f t="shared" si="190"/>
        <v>0</v>
      </c>
      <c r="AC349" s="49">
        <f t="shared" si="191"/>
        <v>0</v>
      </c>
      <c r="AD349" s="49">
        <f t="shared" si="192"/>
        <v>0.99999999999999989</v>
      </c>
      <c r="AE349" s="49">
        <f t="shared" si="193"/>
        <v>0.99999999999999989</v>
      </c>
      <c r="AF349" s="49">
        <f t="shared" si="194"/>
        <v>0</v>
      </c>
      <c r="AG349" s="49">
        <f t="shared" si="195"/>
        <v>0</v>
      </c>
      <c r="AH349" s="49">
        <f t="shared" si="196"/>
        <v>0.99999999999999989</v>
      </c>
      <c r="AI349" s="47">
        <f t="shared" si="183"/>
        <v>0.58333333333333337</v>
      </c>
      <c r="AJ349" s="134">
        <f t="shared" si="184"/>
        <v>7</v>
      </c>
      <c r="AK349"/>
    </row>
    <row r="350" spans="1:37" ht="15" x14ac:dyDescent="0.25">
      <c r="A350" s="40" t="str">
        <f t="shared" si="200"/>
        <v>allRecycling0CRYEXC</v>
      </c>
      <c r="B350" s="1" t="str">
        <f t="shared" si="201"/>
        <v>VancRecycling0CRYEXC</v>
      </c>
      <c r="C350" s="289" t="s">
        <v>520</v>
      </c>
      <c r="D350" s="289" t="s">
        <v>600</v>
      </c>
      <c r="E350" s="290">
        <v>29.77</v>
      </c>
      <c r="F350" s="11">
        <v>31.259999999999998</v>
      </c>
      <c r="G350" s="11">
        <v>31.259999999999998</v>
      </c>
      <c r="I350" s="14">
        <v>41.13</v>
      </c>
      <c r="J350" s="14">
        <v>549.17999999999995</v>
      </c>
      <c r="K350" s="14">
        <v>656.9</v>
      </c>
      <c r="L350" s="14">
        <v>514.17999999999995</v>
      </c>
      <c r="M350" s="14">
        <v>422.88</v>
      </c>
      <c r="N350" s="14">
        <v>108</v>
      </c>
      <c r="O350" s="14">
        <v>72</v>
      </c>
      <c r="P350" s="14">
        <v>211.44</v>
      </c>
      <c r="Q350" s="14">
        <v>72</v>
      </c>
      <c r="R350" s="14">
        <v>28.8</v>
      </c>
      <c r="S350" s="14">
        <v>14.4</v>
      </c>
      <c r="T350" s="14">
        <v>43.2</v>
      </c>
      <c r="U350" s="73">
        <f t="shared" si="199"/>
        <v>2734.11</v>
      </c>
      <c r="W350" s="49">
        <f t="shared" si="185"/>
        <v>1.381592206919718</v>
      </c>
      <c r="X350" s="49">
        <f t="shared" si="186"/>
        <v>18.447430298958682</v>
      </c>
      <c r="Y350" s="49">
        <f t="shared" si="187"/>
        <v>22.065838092038966</v>
      </c>
      <c r="Z350" s="49">
        <f t="shared" si="188"/>
        <v>16.448496481126039</v>
      </c>
      <c r="AA350" s="49">
        <f t="shared" si="189"/>
        <v>13.527831094049905</v>
      </c>
      <c r="AB350" s="49">
        <f t="shared" si="190"/>
        <v>3.4548944337811904</v>
      </c>
      <c r="AC350" s="49">
        <f t="shared" si="191"/>
        <v>2.3032629558541267</v>
      </c>
      <c r="AD350" s="49">
        <f t="shared" si="192"/>
        <v>6.7639155470249523</v>
      </c>
      <c r="AE350" s="49">
        <f t="shared" si="193"/>
        <v>2.3032629558541267</v>
      </c>
      <c r="AF350" s="49">
        <f t="shared" si="194"/>
        <v>0.92130518234165071</v>
      </c>
      <c r="AG350" s="49">
        <f t="shared" si="195"/>
        <v>0.46065259117082535</v>
      </c>
      <c r="AH350" s="49">
        <f t="shared" si="196"/>
        <v>1.3819577735124762</v>
      </c>
      <c r="AI350" s="47">
        <f t="shared" si="183"/>
        <v>7.4550366343860546</v>
      </c>
      <c r="AJ350" s="134">
        <f t="shared" si="184"/>
        <v>89.460439612632655</v>
      </c>
      <c r="AK350"/>
    </row>
    <row r="351" spans="1:37" ht="15" x14ac:dyDescent="0.25">
      <c r="A351" s="40" t="str">
        <f>"all"&amp;"Recycling"&amp;C351</f>
        <v>allRecyclingMFPAIL</v>
      </c>
      <c r="B351" s="1" t="str">
        <f t="shared" si="201"/>
        <v>VancRecyclingMFPAIL</v>
      </c>
      <c r="C351" s="58" t="s">
        <v>498</v>
      </c>
      <c r="D351" s="58" t="s">
        <v>1032</v>
      </c>
      <c r="E351" s="11">
        <v>5.12</v>
      </c>
      <c r="F351" s="11">
        <v>5.12</v>
      </c>
      <c r="G351" s="11">
        <v>5.12</v>
      </c>
      <c r="I351" s="14">
        <v>0</v>
      </c>
      <c r="J351" s="14">
        <v>17.489999999999998</v>
      </c>
      <c r="K351" s="14">
        <v>0</v>
      </c>
      <c r="L351" s="14">
        <v>196.96</v>
      </c>
      <c r="M351" s="14">
        <v>3.96</v>
      </c>
      <c r="N351" s="14">
        <v>0</v>
      </c>
      <c r="O351" s="14">
        <v>18.16</v>
      </c>
      <c r="P351" s="14">
        <v>0</v>
      </c>
      <c r="Q351" s="14">
        <v>0</v>
      </c>
      <c r="R351" s="14">
        <v>0</v>
      </c>
      <c r="S351" s="14">
        <v>0</v>
      </c>
      <c r="T351" s="14">
        <v>0</v>
      </c>
      <c r="U351" s="73">
        <f>SUM(I351:T351)</f>
        <v>236.57000000000002</v>
      </c>
      <c r="W351" s="49">
        <f t="shared" si="185"/>
        <v>0</v>
      </c>
      <c r="X351" s="49">
        <f t="shared" si="186"/>
        <v>3.4160156249999996</v>
      </c>
      <c r="Y351" s="49">
        <f t="shared" si="187"/>
        <v>0</v>
      </c>
      <c r="Z351" s="49">
        <f t="shared" si="188"/>
        <v>38.46875</v>
      </c>
      <c r="AA351" s="49">
        <f t="shared" si="189"/>
        <v>0.7734375</v>
      </c>
      <c r="AB351" s="49">
        <f t="shared" si="190"/>
        <v>0</v>
      </c>
      <c r="AC351" s="49">
        <f t="shared" si="191"/>
        <v>3.546875</v>
      </c>
      <c r="AD351" s="49">
        <f t="shared" si="192"/>
        <v>0</v>
      </c>
      <c r="AE351" s="49">
        <f t="shared" si="193"/>
        <v>0</v>
      </c>
      <c r="AF351" s="49">
        <f t="shared" si="194"/>
        <v>0</v>
      </c>
      <c r="AG351" s="49">
        <f t="shared" si="195"/>
        <v>0</v>
      </c>
      <c r="AH351" s="49">
        <f t="shared" si="196"/>
        <v>0</v>
      </c>
      <c r="AI351" s="47">
        <f>+IFERROR(AVERAGE(W351:AH351),0)</f>
        <v>3.8504231770833335</v>
      </c>
      <c r="AJ351" s="134">
        <f>SUM(W351:AH351)</f>
        <v>46.205078125</v>
      </c>
      <c r="AK351"/>
    </row>
    <row r="352" spans="1:37" ht="15" x14ac:dyDescent="0.25">
      <c r="A352" s="40" t="str">
        <f t="shared" si="200"/>
        <v>allRecyclingMFTOTE</v>
      </c>
      <c r="B352" s="1" t="str">
        <f>"Vanc"&amp;"Recycling"&amp;C352</f>
        <v>VancRecyclingMFTOTE</v>
      </c>
      <c r="C352" s="58" t="s">
        <v>1033</v>
      </c>
      <c r="D352" s="58" t="s">
        <v>1362</v>
      </c>
      <c r="E352" s="11">
        <v>8.11</v>
      </c>
      <c r="F352" s="11">
        <v>8.5199999999999978</v>
      </c>
      <c r="G352" s="11">
        <v>8.5199999999999978</v>
      </c>
      <c r="I352" s="14">
        <v>0</v>
      </c>
      <c r="J352" s="14">
        <v>0</v>
      </c>
      <c r="K352" s="14">
        <v>0</v>
      </c>
      <c r="L352" s="14">
        <v>17.04</v>
      </c>
      <c r="M352" s="14">
        <v>0</v>
      </c>
      <c r="N352" s="14">
        <v>25.56</v>
      </c>
      <c r="O352" s="14">
        <v>17.04</v>
      </c>
      <c r="P352" s="14">
        <v>51.12</v>
      </c>
      <c r="Q352" s="14">
        <v>17.04</v>
      </c>
      <c r="R352" s="14">
        <v>0</v>
      </c>
      <c r="S352" s="14">
        <v>0</v>
      </c>
      <c r="T352" s="14">
        <v>8.52</v>
      </c>
      <c r="U352" s="73">
        <f t="shared" si="199"/>
        <v>136.32</v>
      </c>
      <c r="W352" s="49">
        <f t="shared" si="185"/>
        <v>0</v>
      </c>
      <c r="X352" s="49">
        <f t="shared" si="186"/>
        <v>0</v>
      </c>
      <c r="Y352" s="49">
        <f t="shared" si="187"/>
        <v>0</v>
      </c>
      <c r="Z352" s="49">
        <f t="shared" si="188"/>
        <v>2.0000000000000004</v>
      </c>
      <c r="AA352" s="49">
        <f t="shared" si="189"/>
        <v>0</v>
      </c>
      <c r="AB352" s="49">
        <f t="shared" si="190"/>
        <v>3.0000000000000004</v>
      </c>
      <c r="AC352" s="49">
        <f t="shared" si="191"/>
        <v>2.0000000000000004</v>
      </c>
      <c r="AD352" s="49">
        <f t="shared" si="192"/>
        <v>6.0000000000000009</v>
      </c>
      <c r="AE352" s="49">
        <f t="shared" si="193"/>
        <v>2.0000000000000004</v>
      </c>
      <c r="AF352" s="49">
        <f t="shared" si="194"/>
        <v>0</v>
      </c>
      <c r="AG352" s="49">
        <f t="shared" si="195"/>
        <v>0</v>
      </c>
      <c r="AH352" s="49">
        <f t="shared" si="196"/>
        <v>1.0000000000000002</v>
      </c>
      <c r="AI352" s="47">
        <f t="shared" si="183"/>
        <v>1.3333333333333337</v>
      </c>
      <c r="AJ352" s="134">
        <f t="shared" si="184"/>
        <v>16.000000000000004</v>
      </c>
      <c r="AK352"/>
    </row>
    <row r="353" spans="1:47" ht="15" x14ac:dyDescent="0.25">
      <c r="A353" s="40" t="str">
        <f t="shared" si="200"/>
        <v>allRecyclingSCHX</v>
      </c>
      <c r="B353" s="1" t="str">
        <f t="shared" si="201"/>
        <v>VancRecyclingSCHX</v>
      </c>
      <c r="C353" s="58" t="s">
        <v>1026</v>
      </c>
      <c r="D353" s="58" t="s">
        <v>1027</v>
      </c>
      <c r="E353" s="11">
        <v>9.08</v>
      </c>
      <c r="F353" s="11">
        <v>9.08</v>
      </c>
      <c r="G353" s="11">
        <v>9.08</v>
      </c>
      <c r="I353" s="14">
        <v>0</v>
      </c>
      <c r="J353" s="14">
        <v>0</v>
      </c>
      <c r="K353" s="14">
        <v>10.9</v>
      </c>
      <c r="L353" s="14">
        <v>0</v>
      </c>
      <c r="M353" s="14">
        <v>0</v>
      </c>
      <c r="N353" s="14">
        <v>21.8</v>
      </c>
      <c r="O353" s="14">
        <v>0</v>
      </c>
      <c r="P353" s="14">
        <v>32.700000000000003</v>
      </c>
      <c r="Q353" s="14">
        <v>0</v>
      </c>
      <c r="R353" s="14">
        <v>0</v>
      </c>
      <c r="S353" s="14">
        <v>0</v>
      </c>
      <c r="T353" s="14">
        <v>0</v>
      </c>
      <c r="U353" s="73">
        <f t="shared" si="199"/>
        <v>65.400000000000006</v>
      </c>
      <c r="W353" s="49">
        <f t="shared" si="185"/>
        <v>0</v>
      </c>
      <c r="X353" s="49">
        <f t="shared" si="186"/>
        <v>0</v>
      </c>
      <c r="Y353" s="49">
        <f t="shared" si="187"/>
        <v>1.2004405286343613</v>
      </c>
      <c r="Z353" s="49">
        <f t="shared" si="188"/>
        <v>0</v>
      </c>
      <c r="AA353" s="49">
        <f t="shared" si="189"/>
        <v>0</v>
      </c>
      <c r="AB353" s="49">
        <f t="shared" si="190"/>
        <v>2.4008810572687227</v>
      </c>
      <c r="AC353" s="49">
        <f t="shared" si="191"/>
        <v>0</v>
      </c>
      <c r="AD353" s="49">
        <f t="shared" si="192"/>
        <v>3.6013215859030838</v>
      </c>
      <c r="AE353" s="49">
        <f t="shared" si="193"/>
        <v>0</v>
      </c>
      <c r="AF353" s="49">
        <f t="shared" si="194"/>
        <v>0</v>
      </c>
      <c r="AG353" s="49">
        <f t="shared" si="195"/>
        <v>0</v>
      </c>
      <c r="AH353" s="49">
        <f t="shared" si="196"/>
        <v>0</v>
      </c>
      <c r="AI353" s="47">
        <f t="shared" si="183"/>
        <v>0.60022026431718067</v>
      </c>
      <c r="AJ353" s="134">
        <f t="shared" si="184"/>
        <v>7.2026431718061676</v>
      </c>
      <c r="AK353"/>
    </row>
    <row r="354" spans="1:47" ht="15" x14ac:dyDescent="0.25">
      <c r="A354" s="40" t="str">
        <f t="shared" si="200"/>
        <v>allRecyclingCRYACC</v>
      </c>
      <c r="B354" s="1" t="str">
        <f t="shared" si="201"/>
        <v>VancRecyclingCRYACC</v>
      </c>
      <c r="C354" s="58" t="s">
        <v>521</v>
      </c>
      <c r="D354" s="58" t="s">
        <v>601</v>
      </c>
      <c r="E354" s="11">
        <v>11.39</v>
      </c>
      <c r="F354" s="11">
        <v>11.96</v>
      </c>
      <c r="G354" s="11">
        <v>11.96</v>
      </c>
      <c r="I354" s="14">
        <v>6893.05</v>
      </c>
      <c r="J354" s="14">
        <v>6940.61</v>
      </c>
      <c r="K354" s="14">
        <v>6998.4400000000005</v>
      </c>
      <c r="L354" s="14">
        <v>7326.92</v>
      </c>
      <c r="M354" s="14">
        <v>7356.97</v>
      </c>
      <c r="N354" s="14">
        <v>7352.39</v>
      </c>
      <c r="O354" s="14">
        <v>7562.38</v>
      </c>
      <c r="P354" s="14">
        <v>7683.7</v>
      </c>
      <c r="Q354" s="14">
        <v>7728.56</v>
      </c>
      <c r="R354" s="14">
        <v>7765.62</v>
      </c>
      <c r="S354" s="14">
        <v>7788.8600000000006</v>
      </c>
      <c r="T354" s="14">
        <v>7851.6900000000005</v>
      </c>
      <c r="U354" s="73">
        <f t="shared" si="199"/>
        <v>89249.189999999988</v>
      </c>
      <c r="W354" s="49">
        <f t="shared" si="185"/>
        <v>605.18437225636524</v>
      </c>
      <c r="X354" s="49">
        <f t="shared" si="186"/>
        <v>609.35996488147487</v>
      </c>
      <c r="Y354" s="49">
        <f t="shared" si="187"/>
        <v>614.43722563652329</v>
      </c>
      <c r="Z354" s="49">
        <f t="shared" si="188"/>
        <v>612.61872909698991</v>
      </c>
      <c r="AA354" s="49">
        <f t="shared" si="189"/>
        <v>615.13127090300998</v>
      </c>
      <c r="AB354" s="49">
        <f t="shared" si="190"/>
        <v>614.74832775919731</v>
      </c>
      <c r="AC354" s="49">
        <f t="shared" si="191"/>
        <v>632.30602006688957</v>
      </c>
      <c r="AD354" s="49">
        <f t="shared" si="192"/>
        <v>642.44983277591962</v>
      </c>
      <c r="AE354" s="49">
        <f t="shared" si="193"/>
        <v>646.20066889632108</v>
      </c>
      <c r="AF354" s="49">
        <f t="shared" si="194"/>
        <v>649.29933110367892</v>
      </c>
      <c r="AG354" s="49">
        <f t="shared" si="195"/>
        <v>651.24247491638801</v>
      </c>
      <c r="AH354" s="49">
        <f t="shared" si="196"/>
        <v>656.49581939799327</v>
      </c>
      <c r="AI354" s="47">
        <f t="shared" si="183"/>
        <v>629.12283647422919</v>
      </c>
      <c r="AJ354" s="134">
        <f t="shared" si="184"/>
        <v>7549.4740376907503</v>
      </c>
      <c r="AK354"/>
    </row>
    <row r="355" spans="1:47" ht="15" x14ac:dyDescent="0.25">
      <c r="A355" s="40" t="str">
        <f t="shared" si="200"/>
        <v>allRecyclingCRYPLACE</v>
      </c>
      <c r="B355" s="1" t="str">
        <f t="shared" si="201"/>
        <v>VancRecyclingCRYPLACE</v>
      </c>
      <c r="C355" s="58" t="s">
        <v>523</v>
      </c>
      <c r="D355" s="58" t="s">
        <v>603</v>
      </c>
      <c r="E355" s="11">
        <v>42.98</v>
      </c>
      <c r="F355" s="11">
        <v>45.129999999999995</v>
      </c>
      <c r="G355" s="11">
        <v>45.129999999999995</v>
      </c>
      <c r="I355" s="14">
        <v>300.86</v>
      </c>
      <c r="J355" s="14">
        <v>429.8</v>
      </c>
      <c r="K355" s="14">
        <v>343.84</v>
      </c>
      <c r="L355" s="14">
        <v>219.2</v>
      </c>
      <c r="M355" s="14">
        <v>406.17</v>
      </c>
      <c r="N355" s="14">
        <v>270.77999999999997</v>
      </c>
      <c r="O355" s="14">
        <v>406.17</v>
      </c>
      <c r="P355" s="14">
        <v>406.17</v>
      </c>
      <c r="Q355" s="14">
        <v>270.77999999999997</v>
      </c>
      <c r="R355" s="14">
        <v>270.77999999999997</v>
      </c>
      <c r="S355" s="14">
        <v>451.3</v>
      </c>
      <c r="T355" s="14">
        <v>496.43</v>
      </c>
      <c r="U355" s="73">
        <f t="shared" si="199"/>
        <v>4272.2800000000007</v>
      </c>
      <c r="W355" s="49">
        <f t="shared" si="185"/>
        <v>7.0000000000000009</v>
      </c>
      <c r="X355" s="49">
        <f t="shared" si="186"/>
        <v>10.000000000000002</v>
      </c>
      <c r="Y355" s="49">
        <f t="shared" si="187"/>
        <v>8</v>
      </c>
      <c r="Z355" s="49">
        <f t="shared" si="188"/>
        <v>4.8570795479725239</v>
      </c>
      <c r="AA355" s="49">
        <f t="shared" si="189"/>
        <v>9.0000000000000018</v>
      </c>
      <c r="AB355" s="49">
        <f t="shared" si="190"/>
        <v>6</v>
      </c>
      <c r="AC355" s="49">
        <f t="shared" si="191"/>
        <v>9.0000000000000018</v>
      </c>
      <c r="AD355" s="49">
        <f t="shared" si="192"/>
        <v>9.0000000000000018</v>
      </c>
      <c r="AE355" s="49">
        <f t="shared" si="193"/>
        <v>6</v>
      </c>
      <c r="AF355" s="49">
        <f t="shared" si="194"/>
        <v>6</v>
      </c>
      <c r="AG355" s="49">
        <f t="shared" si="195"/>
        <v>10.000000000000002</v>
      </c>
      <c r="AH355" s="49">
        <f t="shared" si="196"/>
        <v>11.000000000000002</v>
      </c>
      <c r="AI355" s="47">
        <f t="shared" si="183"/>
        <v>7.9880899623310446</v>
      </c>
      <c r="AJ355" s="134">
        <f t="shared" si="184"/>
        <v>95.857079547972532</v>
      </c>
      <c r="AK355"/>
    </row>
    <row r="356" spans="1:47" ht="15" x14ac:dyDescent="0.25">
      <c r="A356" s="40" t="str">
        <f t="shared" si="200"/>
        <v>allRecyclingCRYRO</v>
      </c>
      <c r="B356" s="1" t="str">
        <f t="shared" si="201"/>
        <v>VancRecyclingCRYRO</v>
      </c>
      <c r="C356" s="58" t="s">
        <v>524</v>
      </c>
      <c r="D356" s="58" t="s">
        <v>604</v>
      </c>
      <c r="E356" s="11">
        <v>11.39</v>
      </c>
      <c r="F356" s="11">
        <v>11.96</v>
      </c>
      <c r="G356" s="11">
        <v>11.96</v>
      </c>
      <c r="I356" s="14">
        <v>6550.8899999999994</v>
      </c>
      <c r="J356" s="14">
        <v>6612.45</v>
      </c>
      <c r="K356" s="14">
        <v>6854.0700000000006</v>
      </c>
      <c r="L356" s="14">
        <v>7086.28</v>
      </c>
      <c r="M356" s="14">
        <v>7221.5</v>
      </c>
      <c r="N356" s="14">
        <v>7222.8200000000006</v>
      </c>
      <c r="O356" s="14">
        <v>8000.46</v>
      </c>
      <c r="P356" s="14">
        <v>7896.9400000000005</v>
      </c>
      <c r="Q356" s="14">
        <v>8082.32</v>
      </c>
      <c r="R356" s="14">
        <v>8056.02</v>
      </c>
      <c r="S356" s="14">
        <v>8097.94</v>
      </c>
      <c r="T356" s="14">
        <v>8208.9500000000007</v>
      </c>
      <c r="U356" s="73">
        <f t="shared" si="199"/>
        <v>89890.64</v>
      </c>
      <c r="W356" s="49">
        <f t="shared" si="185"/>
        <v>575.1439859525899</v>
      </c>
      <c r="X356" s="49">
        <f t="shared" si="186"/>
        <v>580.54872695346796</v>
      </c>
      <c r="Y356" s="49">
        <f t="shared" si="187"/>
        <v>601.7620719929763</v>
      </c>
      <c r="Z356" s="49">
        <f t="shared" si="188"/>
        <v>592.49832775919731</v>
      </c>
      <c r="AA356" s="49">
        <f t="shared" si="189"/>
        <v>603.80434782608688</v>
      </c>
      <c r="AB356" s="49">
        <f t="shared" si="190"/>
        <v>603.91471571906357</v>
      </c>
      <c r="AC356" s="49">
        <f t="shared" si="191"/>
        <v>668.93478260869563</v>
      </c>
      <c r="AD356" s="49">
        <f t="shared" si="192"/>
        <v>660.27926421404686</v>
      </c>
      <c r="AE356" s="49">
        <f t="shared" si="193"/>
        <v>675.77926421404675</v>
      </c>
      <c r="AF356" s="49">
        <f t="shared" si="194"/>
        <v>673.58026755852836</v>
      </c>
      <c r="AG356" s="49">
        <f t="shared" si="195"/>
        <v>677.08528428093632</v>
      </c>
      <c r="AH356" s="49">
        <f t="shared" si="196"/>
        <v>686.36705685618733</v>
      </c>
      <c r="AI356" s="47">
        <f t="shared" si="183"/>
        <v>633.30817466131862</v>
      </c>
      <c r="AJ356" s="134">
        <f t="shared" si="184"/>
        <v>7599.6980959358234</v>
      </c>
      <c r="AK356"/>
    </row>
    <row r="357" spans="1:47" ht="15" x14ac:dyDescent="0.25">
      <c r="A357" s="40" t="str">
        <f t="shared" si="200"/>
        <v>allRecyclingCRYLOCK</v>
      </c>
      <c r="B357" s="1" t="str">
        <f t="shared" si="201"/>
        <v>VancRecyclingCRYLOCK</v>
      </c>
      <c r="C357" s="58" t="s">
        <v>888</v>
      </c>
      <c r="D357" s="58" t="s">
        <v>900</v>
      </c>
      <c r="E357" s="11">
        <v>4.3099999999999996</v>
      </c>
      <c r="F357" s="11">
        <v>4.53</v>
      </c>
      <c r="G357" s="11">
        <v>4.53</v>
      </c>
      <c r="I357" s="14">
        <v>6.94</v>
      </c>
      <c r="J357" s="14">
        <v>6.94</v>
      </c>
      <c r="K357" s="14">
        <v>6.94</v>
      </c>
      <c r="L357" s="14">
        <v>7.14</v>
      </c>
      <c r="M357" s="14">
        <v>7.14</v>
      </c>
      <c r="N357" s="14">
        <v>7.14</v>
      </c>
      <c r="O357" s="14">
        <v>7.14</v>
      </c>
      <c r="P357" s="14">
        <v>7.14</v>
      </c>
      <c r="Q357" s="14">
        <v>7.14</v>
      </c>
      <c r="R357" s="14">
        <v>7.14</v>
      </c>
      <c r="S357" s="14">
        <v>7.14</v>
      </c>
      <c r="T357" s="14">
        <v>7.14</v>
      </c>
      <c r="U357" s="73">
        <f t="shared" si="199"/>
        <v>85.08</v>
      </c>
      <c r="W357" s="49">
        <f t="shared" si="185"/>
        <v>1.6102088167053366</v>
      </c>
      <c r="X357" s="49">
        <f t="shared" si="186"/>
        <v>1.6102088167053366</v>
      </c>
      <c r="Y357" s="49">
        <f t="shared" si="187"/>
        <v>1.6102088167053366</v>
      </c>
      <c r="Z357" s="49">
        <f t="shared" si="188"/>
        <v>1.5761589403973508</v>
      </c>
      <c r="AA357" s="49">
        <f t="shared" si="189"/>
        <v>1.5761589403973508</v>
      </c>
      <c r="AB357" s="49">
        <f t="shared" si="190"/>
        <v>1.5761589403973508</v>
      </c>
      <c r="AC357" s="49">
        <f t="shared" si="191"/>
        <v>1.5761589403973508</v>
      </c>
      <c r="AD357" s="49">
        <f t="shared" si="192"/>
        <v>1.5761589403973508</v>
      </c>
      <c r="AE357" s="49">
        <f t="shared" si="193"/>
        <v>1.5761589403973508</v>
      </c>
      <c r="AF357" s="49">
        <f t="shared" si="194"/>
        <v>1.5761589403973508</v>
      </c>
      <c r="AG357" s="49">
        <f t="shared" si="195"/>
        <v>1.5761589403973508</v>
      </c>
      <c r="AH357" s="49">
        <f t="shared" si="196"/>
        <v>1.5761589403973508</v>
      </c>
      <c r="AI357" s="47">
        <f t="shared" si="183"/>
        <v>1.5846714094743473</v>
      </c>
      <c r="AJ357" s="134">
        <f t="shared" si="184"/>
        <v>19.016056913692168</v>
      </c>
      <c r="AK357"/>
    </row>
    <row r="358" spans="1:47" ht="15" x14ac:dyDescent="0.25">
      <c r="A358" s="40" t="str">
        <f t="shared" si="200"/>
        <v>allRecyclingCRYTRIP</v>
      </c>
      <c r="B358" s="1" t="str">
        <f t="shared" si="201"/>
        <v>VancRecyclingCRYTRIP</v>
      </c>
      <c r="C358" s="58" t="s">
        <v>536</v>
      </c>
      <c r="D358" s="58" t="s">
        <v>616</v>
      </c>
      <c r="E358" s="11">
        <v>20.72</v>
      </c>
      <c r="F358" s="11">
        <v>21.759999999999994</v>
      </c>
      <c r="G358" s="11">
        <v>21.759999999999994</v>
      </c>
      <c r="I358" s="14">
        <v>124.32</v>
      </c>
      <c r="J358" s="14">
        <v>200.37</v>
      </c>
      <c r="K358" s="14">
        <v>208.74</v>
      </c>
      <c r="L358" s="14">
        <v>646.71</v>
      </c>
      <c r="M358" s="14">
        <v>195.84</v>
      </c>
      <c r="N358" s="14">
        <v>152.32</v>
      </c>
      <c r="O358" s="14">
        <v>130.56</v>
      </c>
      <c r="P358" s="14">
        <v>87.04</v>
      </c>
      <c r="Q358" s="14">
        <v>87.04</v>
      </c>
      <c r="R358" s="14">
        <v>43.52</v>
      </c>
      <c r="S358" s="14">
        <v>87.04</v>
      </c>
      <c r="T358" s="14">
        <v>152.32</v>
      </c>
      <c r="U358" s="73">
        <f t="shared" si="199"/>
        <v>2115.8199999999997</v>
      </c>
      <c r="W358" s="49">
        <f t="shared" si="185"/>
        <v>6</v>
      </c>
      <c r="X358" s="49">
        <f t="shared" si="186"/>
        <v>9.670366795366796</v>
      </c>
      <c r="Y358" s="49">
        <f t="shared" si="187"/>
        <v>10.074324324324325</v>
      </c>
      <c r="Z358" s="49">
        <f t="shared" si="188"/>
        <v>29.720128676470598</v>
      </c>
      <c r="AA358" s="49">
        <f t="shared" si="189"/>
        <v>9.0000000000000018</v>
      </c>
      <c r="AB358" s="49">
        <f t="shared" si="190"/>
        <v>7.0000000000000018</v>
      </c>
      <c r="AC358" s="49">
        <f t="shared" si="191"/>
        <v>6.0000000000000018</v>
      </c>
      <c r="AD358" s="49">
        <f t="shared" si="192"/>
        <v>4.0000000000000009</v>
      </c>
      <c r="AE358" s="49">
        <f t="shared" si="193"/>
        <v>4.0000000000000009</v>
      </c>
      <c r="AF358" s="49">
        <f t="shared" si="194"/>
        <v>2.0000000000000004</v>
      </c>
      <c r="AG358" s="49">
        <f t="shared" si="195"/>
        <v>4.0000000000000009</v>
      </c>
      <c r="AH358" s="49">
        <f t="shared" si="196"/>
        <v>7.0000000000000018</v>
      </c>
      <c r="AI358" s="47">
        <f t="shared" si="183"/>
        <v>8.2054016496801427</v>
      </c>
      <c r="AJ358" s="134">
        <f t="shared" si="184"/>
        <v>98.46481979616172</v>
      </c>
      <c r="AK358"/>
    </row>
    <row r="359" spans="1:47" ht="15" x14ac:dyDescent="0.25">
      <c r="A359" s="40" t="str">
        <f t="shared" si="200"/>
        <v>allRecyclingWCCLEAN</v>
      </c>
      <c r="B359" s="1" t="str">
        <f t="shared" si="201"/>
        <v>VancRecyclingWCCLEAN</v>
      </c>
      <c r="C359" s="58" t="s">
        <v>537</v>
      </c>
      <c r="D359" s="58" t="s">
        <v>617</v>
      </c>
      <c r="E359" s="11">
        <v>10.47</v>
      </c>
      <c r="F359" s="11">
        <v>11.980000000000002</v>
      </c>
      <c r="G359" s="11">
        <v>11.980000000000002</v>
      </c>
      <c r="I359" s="14">
        <v>0</v>
      </c>
      <c r="J359" s="14">
        <v>0</v>
      </c>
      <c r="K359" s="14">
        <v>57.05</v>
      </c>
      <c r="L359" s="14">
        <v>10.47</v>
      </c>
      <c r="M359" s="14">
        <v>0</v>
      </c>
      <c r="N359" s="14">
        <v>10.47</v>
      </c>
      <c r="O359" s="14">
        <v>52.35</v>
      </c>
      <c r="P359" s="14">
        <v>0</v>
      </c>
      <c r="Q359" s="14">
        <v>0</v>
      </c>
      <c r="R359" s="14">
        <v>0</v>
      </c>
      <c r="S359" s="14">
        <v>0</v>
      </c>
      <c r="T359" s="14">
        <v>0</v>
      </c>
      <c r="U359" s="73">
        <f t="shared" si="199"/>
        <v>130.34</v>
      </c>
      <c r="W359" s="49">
        <f t="shared" si="185"/>
        <v>0</v>
      </c>
      <c r="X359" s="49">
        <f t="shared" si="186"/>
        <v>0</v>
      </c>
      <c r="Y359" s="49">
        <f t="shared" si="187"/>
        <v>5.4489016236867229</v>
      </c>
      <c r="Z359" s="49">
        <f t="shared" si="188"/>
        <v>0.87395659432387296</v>
      </c>
      <c r="AA359" s="49">
        <f t="shared" si="189"/>
        <v>0</v>
      </c>
      <c r="AB359" s="49">
        <f t="shared" si="190"/>
        <v>0.87395659432387296</v>
      </c>
      <c r="AC359" s="49">
        <f t="shared" si="191"/>
        <v>4.3697829716193652</v>
      </c>
      <c r="AD359" s="49">
        <f t="shared" si="192"/>
        <v>0</v>
      </c>
      <c r="AE359" s="49">
        <f t="shared" si="193"/>
        <v>0</v>
      </c>
      <c r="AF359" s="49">
        <f t="shared" si="194"/>
        <v>0</v>
      </c>
      <c r="AG359" s="49">
        <f t="shared" si="195"/>
        <v>0</v>
      </c>
      <c r="AH359" s="49">
        <f t="shared" si="196"/>
        <v>0</v>
      </c>
      <c r="AI359" s="47">
        <f t="shared" si="183"/>
        <v>0.96388314866281954</v>
      </c>
      <c r="AJ359" s="134">
        <f t="shared" si="184"/>
        <v>11.566597783953835</v>
      </c>
      <c r="AK359"/>
    </row>
    <row r="360" spans="1:47" ht="15" x14ac:dyDescent="0.25">
      <c r="C360" s="45"/>
      <c r="D360" s="45"/>
      <c r="AJ360"/>
      <c r="AK360"/>
    </row>
    <row r="361" spans="1:47" ht="15" x14ac:dyDescent="0.25">
      <c r="C361" s="45"/>
      <c r="D361" s="52" t="s">
        <v>28</v>
      </c>
      <c r="I361" s="97">
        <f t="shared" ref="I361:U361" si="202">SUM(I260:I360)</f>
        <v>247408.06</v>
      </c>
      <c r="J361" s="97">
        <f t="shared" si="202"/>
        <v>247322.39999999988</v>
      </c>
      <c r="K361" s="97">
        <f t="shared" si="202"/>
        <v>247322.68999999994</v>
      </c>
      <c r="L361" s="97">
        <f t="shared" si="202"/>
        <v>258096.31999999995</v>
      </c>
      <c r="M361" s="97">
        <f t="shared" si="202"/>
        <v>259854.28000000003</v>
      </c>
      <c r="N361" s="97">
        <f t="shared" si="202"/>
        <v>260327.10000000003</v>
      </c>
      <c r="O361" s="97">
        <f t="shared" si="202"/>
        <v>265989.49</v>
      </c>
      <c r="P361" s="97">
        <f t="shared" si="202"/>
        <v>267094.68999999994</v>
      </c>
      <c r="Q361" s="97">
        <f t="shared" si="202"/>
        <v>268912.2699999999</v>
      </c>
      <c r="R361" s="97">
        <f t="shared" si="202"/>
        <v>267669.6399999999</v>
      </c>
      <c r="S361" s="97">
        <f t="shared" si="202"/>
        <v>266939.62</v>
      </c>
      <c r="T361" s="97">
        <f t="shared" si="202"/>
        <v>268060.01</v>
      </c>
      <c r="U361" s="146">
        <f t="shared" si="202"/>
        <v>3124996.57</v>
      </c>
      <c r="W361" s="191">
        <f t="shared" ref="W361:AJ361" si="203">SUM(W260:W322)</f>
        <v>4016.2363487968441</v>
      </c>
      <c r="X361" s="191">
        <f t="shared" si="203"/>
        <v>4009.7901589678768</v>
      </c>
      <c r="Y361" s="191">
        <f t="shared" si="203"/>
        <v>3945.4899858492126</v>
      </c>
      <c r="Z361" s="191">
        <f t="shared" si="203"/>
        <v>3989.9506355126659</v>
      </c>
      <c r="AA361" s="191">
        <f t="shared" si="203"/>
        <v>3973.5804346852624</v>
      </c>
      <c r="AB361" s="191">
        <f t="shared" si="203"/>
        <v>4022.1532584495144</v>
      </c>
      <c r="AC361" s="191">
        <f t="shared" si="203"/>
        <v>4086.6141351127717</v>
      </c>
      <c r="AD361" s="191">
        <f t="shared" si="203"/>
        <v>4118.6428622784733</v>
      </c>
      <c r="AE361" s="191">
        <f t="shared" si="203"/>
        <v>4133.0501244599045</v>
      </c>
      <c r="AF361" s="191">
        <f t="shared" si="203"/>
        <v>4143.4742757297381</v>
      </c>
      <c r="AG361" s="191">
        <f t="shared" si="203"/>
        <v>4141.9001548613214</v>
      </c>
      <c r="AH361" s="191">
        <f t="shared" si="203"/>
        <v>4149.5595048406149</v>
      </c>
      <c r="AI361" s="191">
        <f t="shared" si="203"/>
        <v>4060.8701566286827</v>
      </c>
      <c r="AJ361" s="191">
        <f t="shared" si="203"/>
        <v>48730.441879544196</v>
      </c>
      <c r="AK361"/>
      <c r="AO361" s="196">
        <f>SUM(AO260:AO325)</f>
        <v>560.34460086341255</v>
      </c>
      <c r="AQ361" s="196">
        <f>SUM(AQ260:AQ325)</f>
        <v>748.28345451384666</v>
      </c>
      <c r="AS361" s="196">
        <f>SUM(AS260:AS325)</f>
        <v>0</v>
      </c>
      <c r="AU361" s="196">
        <f>SUM(AU260:AU325)</f>
        <v>2867.2519696969694</v>
      </c>
    </row>
    <row r="362" spans="1:47" ht="15" x14ac:dyDescent="0.25">
      <c r="C362" s="45"/>
      <c r="D362" s="45"/>
      <c r="AJ362"/>
      <c r="AK362"/>
    </row>
    <row r="363" spans="1:47" ht="15" x14ac:dyDescent="0.25">
      <c r="C363" s="70" t="s">
        <v>13</v>
      </c>
      <c r="D363" s="70" t="s">
        <v>13</v>
      </c>
      <c r="AJ363"/>
      <c r="AK363"/>
    </row>
    <row r="364" spans="1:47" ht="15" x14ac:dyDescent="0.25">
      <c r="C364" s="71"/>
      <c r="D364" s="71"/>
      <c r="AJ364"/>
      <c r="AK364"/>
    </row>
    <row r="365" spans="1:47" ht="15" x14ac:dyDescent="0.25">
      <c r="C365" s="62" t="s">
        <v>14</v>
      </c>
      <c r="D365" s="62" t="s">
        <v>14</v>
      </c>
      <c r="AJ365"/>
      <c r="AK365"/>
    </row>
    <row r="366" spans="1:47" ht="15" x14ac:dyDescent="0.25">
      <c r="B366" s="1" t="str">
        <f t="shared" ref="B366:B415" si="204">"Vanc"&amp;"Roll Off"&amp;C366</f>
        <v>VancRoll OffCER20YD</v>
      </c>
      <c r="C366" s="289" t="s">
        <v>305</v>
      </c>
      <c r="D366" s="289" t="s">
        <v>349</v>
      </c>
      <c r="E366" s="11">
        <v>171.88</v>
      </c>
      <c r="F366" s="11">
        <v>171.88</v>
      </c>
      <c r="G366" s="11">
        <v>181.09</v>
      </c>
      <c r="I366" s="14">
        <v>0</v>
      </c>
      <c r="J366" s="14">
        <v>0</v>
      </c>
      <c r="K366" s="14">
        <v>0</v>
      </c>
      <c r="L366" s="14">
        <v>0</v>
      </c>
      <c r="M366" s="14">
        <v>0</v>
      </c>
      <c r="N366" s="14">
        <v>0</v>
      </c>
      <c r="O366" s="14">
        <v>0</v>
      </c>
      <c r="P366" s="14">
        <v>0</v>
      </c>
      <c r="Q366" s="14">
        <v>171.88</v>
      </c>
      <c r="R366" s="14">
        <v>0</v>
      </c>
      <c r="S366" s="14">
        <v>0</v>
      </c>
      <c r="T366" s="14">
        <v>0</v>
      </c>
      <c r="U366" s="73">
        <f t="shared" ref="U366:U411" si="205">SUM(I366:T366)</f>
        <v>171.88</v>
      </c>
      <c r="W366" s="49">
        <f t="shared" ref="W366:W416" si="206">IFERROR(I366/$E366,0)</f>
        <v>0</v>
      </c>
      <c r="X366" s="49">
        <f t="shared" ref="X366:X416" si="207">IFERROR(J366/$E366,0)</f>
        <v>0</v>
      </c>
      <c r="Y366" s="49">
        <f t="shared" ref="Y366:Y416" si="208">IFERROR(K366/$E366,0)</f>
        <v>0</v>
      </c>
      <c r="Z366" s="49">
        <f t="shared" ref="Z366:Z416" si="209">IFERROR(L366/$F366,0)</f>
        <v>0</v>
      </c>
      <c r="AA366" s="49">
        <f t="shared" ref="AA366:AA416" si="210">IFERROR(M366/$F366,0)</f>
        <v>0</v>
      </c>
      <c r="AB366" s="49">
        <f t="shared" ref="AB366:AB416" si="211">IFERROR(N366/$F366,0)</f>
        <v>0</v>
      </c>
      <c r="AC366" s="49">
        <f t="shared" ref="AC366:AC416" si="212">IFERROR(O366/$F366,0)</f>
        <v>0</v>
      </c>
      <c r="AD366" s="49">
        <f t="shared" ref="AD366:AD416" si="213">IFERROR(P366/$F366,0)</f>
        <v>0</v>
      </c>
      <c r="AE366" s="49">
        <f t="shared" ref="AE366:AE416" si="214">IFERROR(Q366/$F366,0)</f>
        <v>1</v>
      </c>
      <c r="AF366" s="49">
        <f t="shared" ref="AF366:AF416" si="215">IFERROR(R366/$G366,0)</f>
        <v>0</v>
      </c>
      <c r="AG366" s="49">
        <f t="shared" ref="AG366:AG416" si="216">IFERROR(S366/$G366,0)</f>
        <v>0</v>
      </c>
      <c r="AH366" s="49">
        <f t="shared" ref="AH366:AH416" si="217">IFERROR(T366/$G366,0)</f>
        <v>0</v>
      </c>
      <c r="AI366" s="47">
        <f t="shared" ref="AI366:AI386" si="218">+IFERROR(AVERAGE(W366:AH366),0)</f>
        <v>8.3333333333333329E-2</v>
      </c>
      <c r="AJ366" s="134">
        <f t="shared" ref="AJ366:AJ394" si="219">SUM(W366:AH366)</f>
        <v>1</v>
      </c>
      <c r="AK366"/>
    </row>
    <row r="367" spans="1:47" ht="15" x14ac:dyDescent="0.25">
      <c r="B367" s="1" t="str">
        <f>"Vanc"&amp;"Roll Off"&amp;C367</f>
        <v>VancRoll OffCER30YD</v>
      </c>
      <c r="C367" s="289" t="s">
        <v>306</v>
      </c>
      <c r="D367" s="289" t="s">
        <v>350</v>
      </c>
      <c r="E367" s="11">
        <v>171.88</v>
      </c>
      <c r="F367" s="11">
        <v>171.88</v>
      </c>
      <c r="G367" s="11">
        <v>181.09</v>
      </c>
      <c r="I367" s="14">
        <v>0</v>
      </c>
      <c r="J367" s="14">
        <v>171.88</v>
      </c>
      <c r="K367" s="14">
        <v>0</v>
      </c>
      <c r="L367" s="14">
        <v>0</v>
      </c>
      <c r="M367" s="14">
        <v>0</v>
      </c>
      <c r="N367" s="14">
        <v>0</v>
      </c>
      <c r="O367" s="14">
        <v>0</v>
      </c>
      <c r="P367" s="14">
        <v>0</v>
      </c>
      <c r="Q367" s="14">
        <v>0</v>
      </c>
      <c r="R367" s="14">
        <v>0</v>
      </c>
      <c r="S367" s="14">
        <v>181.09</v>
      </c>
      <c r="T367" s="14">
        <v>0</v>
      </c>
      <c r="U367" s="73">
        <f>SUM(I367:T367)</f>
        <v>352.97</v>
      </c>
      <c r="W367" s="49">
        <f t="shared" si="206"/>
        <v>0</v>
      </c>
      <c r="X367" s="49">
        <f t="shared" si="207"/>
        <v>1</v>
      </c>
      <c r="Y367" s="49">
        <f t="shared" si="208"/>
        <v>0</v>
      </c>
      <c r="Z367" s="49">
        <f t="shared" si="209"/>
        <v>0</v>
      </c>
      <c r="AA367" s="49">
        <f t="shared" si="210"/>
        <v>0</v>
      </c>
      <c r="AB367" s="49">
        <f t="shared" si="211"/>
        <v>0</v>
      </c>
      <c r="AC367" s="49">
        <f t="shared" si="212"/>
        <v>0</v>
      </c>
      <c r="AD367" s="49">
        <f t="shared" si="213"/>
        <v>0</v>
      </c>
      <c r="AE367" s="49">
        <f t="shared" si="214"/>
        <v>0</v>
      </c>
      <c r="AF367" s="49">
        <f t="shared" si="215"/>
        <v>0</v>
      </c>
      <c r="AG367" s="49">
        <f t="shared" si="216"/>
        <v>1</v>
      </c>
      <c r="AH367" s="49">
        <f t="shared" si="217"/>
        <v>0</v>
      </c>
      <c r="AI367" s="47">
        <f>+IFERROR(AVERAGE(W367:AH367),0)</f>
        <v>0.16666666666666666</v>
      </c>
      <c r="AJ367" s="134">
        <f>SUM(W367:AH367)</f>
        <v>2</v>
      </c>
      <c r="AK367"/>
    </row>
    <row r="368" spans="1:47" ht="15" x14ac:dyDescent="0.25">
      <c r="B368" s="1" t="str">
        <f t="shared" si="204"/>
        <v>VancRoll OffCER40YD</v>
      </c>
      <c r="C368" s="289" t="s">
        <v>307</v>
      </c>
      <c r="D368" s="289" t="s">
        <v>351</v>
      </c>
      <c r="E368" s="11">
        <v>171.88</v>
      </c>
      <c r="F368" s="11">
        <v>171.88</v>
      </c>
      <c r="G368" s="11">
        <v>181.09</v>
      </c>
      <c r="I368" s="14">
        <v>0</v>
      </c>
      <c r="J368" s="14">
        <v>0</v>
      </c>
      <c r="K368" s="14">
        <v>0</v>
      </c>
      <c r="L368" s="14">
        <v>171.88</v>
      </c>
      <c r="M368" s="14">
        <v>0</v>
      </c>
      <c r="N368" s="14">
        <v>0</v>
      </c>
      <c r="O368" s="14">
        <v>0</v>
      </c>
      <c r="P368" s="14">
        <v>0</v>
      </c>
      <c r="Q368" s="14">
        <v>0</v>
      </c>
      <c r="R368" s="14">
        <v>0</v>
      </c>
      <c r="S368" s="14">
        <v>0</v>
      </c>
      <c r="T368" s="14">
        <v>0</v>
      </c>
      <c r="U368" s="73">
        <f t="shared" si="205"/>
        <v>171.88</v>
      </c>
      <c r="W368" s="49">
        <f t="shared" si="206"/>
        <v>0</v>
      </c>
      <c r="X368" s="49">
        <f t="shared" si="207"/>
        <v>0</v>
      </c>
      <c r="Y368" s="49">
        <f t="shared" si="208"/>
        <v>0</v>
      </c>
      <c r="Z368" s="49">
        <f t="shared" si="209"/>
        <v>1</v>
      </c>
      <c r="AA368" s="49">
        <f t="shared" si="210"/>
        <v>0</v>
      </c>
      <c r="AB368" s="49">
        <f t="shared" si="211"/>
        <v>0</v>
      </c>
      <c r="AC368" s="49">
        <f t="shared" si="212"/>
        <v>0</v>
      </c>
      <c r="AD368" s="49">
        <f t="shared" si="213"/>
        <v>0</v>
      </c>
      <c r="AE368" s="49">
        <f t="shared" si="214"/>
        <v>0</v>
      </c>
      <c r="AF368" s="49">
        <f t="shared" si="215"/>
        <v>0</v>
      </c>
      <c r="AG368" s="49">
        <f t="shared" si="216"/>
        <v>0</v>
      </c>
      <c r="AH368" s="49">
        <f t="shared" si="217"/>
        <v>0</v>
      </c>
      <c r="AI368" s="47">
        <f t="shared" si="218"/>
        <v>8.3333333333333329E-2</v>
      </c>
      <c r="AJ368" s="134">
        <f t="shared" si="219"/>
        <v>1</v>
      </c>
      <c r="AK368"/>
    </row>
    <row r="369" spans="2:37" ht="15" x14ac:dyDescent="0.25">
      <c r="B369" s="1" t="str">
        <f t="shared" si="204"/>
        <v>VancRoll OffCTER40YD</v>
      </c>
      <c r="C369" s="289" t="s">
        <v>317</v>
      </c>
      <c r="D369" s="289" t="s">
        <v>362</v>
      </c>
      <c r="E369" s="11">
        <v>171.88</v>
      </c>
      <c r="F369" s="11">
        <v>171.88</v>
      </c>
      <c r="G369" s="11">
        <v>181.09</v>
      </c>
      <c r="H369" s="14"/>
      <c r="I369" s="14">
        <v>0</v>
      </c>
      <c r="J369" s="14">
        <v>127.85</v>
      </c>
      <c r="K369" s="14">
        <v>-127.85</v>
      </c>
      <c r="L369" s="14">
        <v>0</v>
      </c>
      <c r="M369" s="14">
        <v>0</v>
      </c>
      <c r="N369" s="14">
        <v>0</v>
      </c>
      <c r="O369" s="14">
        <v>0</v>
      </c>
      <c r="P369" s="14">
        <v>0</v>
      </c>
      <c r="Q369" s="14">
        <v>0</v>
      </c>
      <c r="R369" s="14">
        <v>0</v>
      </c>
      <c r="S369" s="14">
        <v>181.09</v>
      </c>
      <c r="T369" s="14">
        <v>0</v>
      </c>
      <c r="U369" s="73">
        <f t="shared" si="205"/>
        <v>181.09</v>
      </c>
      <c r="V369" s="48"/>
      <c r="W369" s="49">
        <f t="shared" si="206"/>
        <v>0</v>
      </c>
      <c r="X369" s="49">
        <f t="shared" si="207"/>
        <v>0.74383290667907842</v>
      </c>
      <c r="Y369" s="49">
        <f t="shared" si="208"/>
        <v>-0.74383290667907842</v>
      </c>
      <c r="Z369" s="49">
        <f t="shared" si="209"/>
        <v>0</v>
      </c>
      <c r="AA369" s="49">
        <f t="shared" si="210"/>
        <v>0</v>
      </c>
      <c r="AB369" s="49">
        <f t="shared" si="211"/>
        <v>0</v>
      </c>
      <c r="AC369" s="49">
        <f t="shared" si="212"/>
        <v>0</v>
      </c>
      <c r="AD369" s="49">
        <f t="shared" si="213"/>
        <v>0</v>
      </c>
      <c r="AE369" s="49">
        <f t="shared" si="214"/>
        <v>0</v>
      </c>
      <c r="AF369" s="49">
        <f t="shared" si="215"/>
        <v>0</v>
      </c>
      <c r="AG369" s="49">
        <f t="shared" si="216"/>
        <v>1</v>
      </c>
      <c r="AH369" s="49">
        <f t="shared" si="217"/>
        <v>0</v>
      </c>
      <c r="AI369" s="47">
        <f t="shared" si="218"/>
        <v>8.3333333333333329E-2</v>
      </c>
      <c r="AJ369" s="134">
        <f t="shared" si="219"/>
        <v>1</v>
      </c>
      <c r="AK369"/>
    </row>
    <row r="370" spans="2:37" ht="15" x14ac:dyDescent="0.25">
      <c r="B370" s="1" t="str">
        <f>"Vanc"&amp;"Roll Off"&amp;C370</f>
        <v>VancRoll OffCTER30YD</v>
      </c>
      <c r="C370" s="289" t="s">
        <v>316</v>
      </c>
      <c r="D370" s="289" t="s">
        <v>361</v>
      </c>
      <c r="E370" s="11">
        <v>171.88</v>
      </c>
      <c r="F370" s="11">
        <v>171.88</v>
      </c>
      <c r="G370" s="11">
        <v>181.09</v>
      </c>
      <c r="H370" s="14"/>
      <c r="I370" s="14">
        <v>0</v>
      </c>
      <c r="J370" s="14">
        <v>171.88</v>
      </c>
      <c r="K370" s="14">
        <v>0</v>
      </c>
      <c r="L370" s="14">
        <v>0</v>
      </c>
      <c r="M370" s="14">
        <v>0</v>
      </c>
      <c r="N370" s="14">
        <v>0</v>
      </c>
      <c r="O370" s="14">
        <v>0</v>
      </c>
      <c r="P370" s="14">
        <v>0</v>
      </c>
      <c r="Q370" s="14">
        <v>0</v>
      </c>
      <c r="R370" s="14">
        <v>0</v>
      </c>
      <c r="S370" s="14">
        <v>0</v>
      </c>
      <c r="T370" s="14">
        <v>0</v>
      </c>
      <c r="U370" s="73">
        <f>SUM(I370:T370)</f>
        <v>171.88</v>
      </c>
      <c r="V370" s="48"/>
      <c r="W370" s="49">
        <f t="shared" si="206"/>
        <v>0</v>
      </c>
      <c r="X370" s="49">
        <f t="shared" si="207"/>
        <v>1</v>
      </c>
      <c r="Y370" s="49">
        <f t="shared" si="208"/>
        <v>0</v>
      </c>
      <c r="Z370" s="49">
        <f t="shared" si="209"/>
        <v>0</v>
      </c>
      <c r="AA370" s="49">
        <f t="shared" si="210"/>
        <v>0</v>
      </c>
      <c r="AB370" s="49">
        <f t="shared" si="211"/>
        <v>0</v>
      </c>
      <c r="AC370" s="49">
        <f t="shared" si="212"/>
        <v>0</v>
      </c>
      <c r="AD370" s="49">
        <f t="shared" si="213"/>
        <v>0</v>
      </c>
      <c r="AE370" s="49">
        <f t="shared" si="214"/>
        <v>0</v>
      </c>
      <c r="AF370" s="49">
        <f t="shared" si="215"/>
        <v>0</v>
      </c>
      <c r="AG370" s="49">
        <f t="shared" si="216"/>
        <v>0</v>
      </c>
      <c r="AH370" s="49">
        <f t="shared" si="217"/>
        <v>0</v>
      </c>
      <c r="AI370" s="47">
        <f>+IFERROR(AVERAGE(W370:AH370),0)</f>
        <v>8.3333333333333329E-2</v>
      </c>
      <c r="AJ370" s="134">
        <f>SUM(W370:AH370)</f>
        <v>1</v>
      </c>
      <c r="AK370"/>
    </row>
    <row r="371" spans="2:37" ht="15" x14ac:dyDescent="0.25">
      <c r="B371" s="1" t="str">
        <f>"Vanc"&amp;"Roll Off"&amp;C371</f>
        <v>VancRoll OffCTER20YD</v>
      </c>
      <c r="C371" s="58" t="s">
        <v>315</v>
      </c>
      <c r="D371" s="58" t="s">
        <v>360</v>
      </c>
      <c r="E371" s="11">
        <v>171.88</v>
      </c>
      <c r="F371" s="11">
        <v>171.88</v>
      </c>
      <c r="G371" s="11">
        <v>181.09</v>
      </c>
      <c r="H371" s="14"/>
      <c r="I371" s="14">
        <v>0</v>
      </c>
      <c r="J371" s="14">
        <v>0</v>
      </c>
      <c r="K371" s="14">
        <v>0</v>
      </c>
      <c r="L371" s="14">
        <v>0</v>
      </c>
      <c r="M371" s="14">
        <v>171.88</v>
      </c>
      <c r="N371" s="14">
        <v>0</v>
      </c>
      <c r="O371" s="14">
        <v>0</v>
      </c>
      <c r="P371" s="14">
        <v>0</v>
      </c>
      <c r="Q371" s="14">
        <v>0</v>
      </c>
      <c r="R371" s="14">
        <v>0</v>
      </c>
      <c r="S371" s="14">
        <v>0</v>
      </c>
      <c r="T371" s="14">
        <v>0</v>
      </c>
      <c r="U371" s="73">
        <f>SUM(I371:T371)</f>
        <v>171.88</v>
      </c>
      <c r="V371" s="48"/>
      <c r="W371" s="49">
        <f t="shared" si="206"/>
        <v>0</v>
      </c>
      <c r="X371" s="49">
        <f t="shared" si="207"/>
        <v>0</v>
      </c>
      <c r="Y371" s="49">
        <f t="shared" si="208"/>
        <v>0</v>
      </c>
      <c r="Z371" s="49">
        <f t="shared" si="209"/>
        <v>0</v>
      </c>
      <c r="AA371" s="49">
        <f t="shared" si="210"/>
        <v>1</v>
      </c>
      <c r="AB371" s="49">
        <f t="shared" si="211"/>
        <v>0</v>
      </c>
      <c r="AC371" s="49">
        <f t="shared" si="212"/>
        <v>0</v>
      </c>
      <c r="AD371" s="49">
        <f t="shared" si="213"/>
        <v>0</v>
      </c>
      <c r="AE371" s="49">
        <f t="shared" si="214"/>
        <v>0</v>
      </c>
      <c r="AF371" s="49">
        <f t="shared" si="215"/>
        <v>0</v>
      </c>
      <c r="AG371" s="49">
        <f t="shared" si="216"/>
        <v>0</v>
      </c>
      <c r="AH371" s="49">
        <f t="shared" si="217"/>
        <v>0</v>
      </c>
      <c r="AI371" s="47">
        <f>+IFERROR(AVERAGE(W371:AH371),0)</f>
        <v>8.3333333333333329E-2</v>
      </c>
      <c r="AJ371" s="134">
        <f>SUM(W371:AH371)</f>
        <v>1</v>
      </c>
      <c r="AK371"/>
    </row>
    <row r="372" spans="2:37" ht="15" x14ac:dyDescent="0.25">
      <c r="B372" s="1" t="str">
        <f>"Vanc"&amp;"Roll Off"&amp;C372</f>
        <v>VancRoll OffCTRV15YD</v>
      </c>
      <c r="C372" s="58" t="s">
        <v>318</v>
      </c>
      <c r="D372" s="58" t="s">
        <v>363</v>
      </c>
      <c r="E372" s="11">
        <v>171.88</v>
      </c>
      <c r="F372" s="11">
        <v>171.88</v>
      </c>
      <c r="G372" s="11">
        <v>181.09</v>
      </c>
      <c r="H372" s="14"/>
      <c r="I372" s="14">
        <v>0</v>
      </c>
      <c r="J372" s="14">
        <v>0</v>
      </c>
      <c r="K372" s="14">
        <v>0</v>
      </c>
      <c r="L372" s="14">
        <v>0</v>
      </c>
      <c r="M372" s="14">
        <v>0</v>
      </c>
      <c r="N372" s="14">
        <v>0</v>
      </c>
      <c r="O372" s="14">
        <v>0</v>
      </c>
      <c r="P372" s="14">
        <v>0</v>
      </c>
      <c r="Q372" s="14">
        <v>0</v>
      </c>
      <c r="R372" s="14">
        <v>0</v>
      </c>
      <c r="S372" s="14">
        <v>0</v>
      </c>
      <c r="T372" s="14">
        <v>0</v>
      </c>
      <c r="U372" s="73">
        <f t="shared" si="205"/>
        <v>0</v>
      </c>
      <c r="V372" s="48"/>
      <c r="W372" s="49">
        <f t="shared" si="206"/>
        <v>0</v>
      </c>
      <c r="X372" s="49">
        <f t="shared" si="207"/>
        <v>0</v>
      </c>
      <c r="Y372" s="49">
        <f t="shared" si="208"/>
        <v>0</v>
      </c>
      <c r="Z372" s="49">
        <f t="shared" si="209"/>
        <v>0</v>
      </c>
      <c r="AA372" s="49">
        <f t="shared" si="210"/>
        <v>0</v>
      </c>
      <c r="AB372" s="49">
        <f t="shared" si="211"/>
        <v>0</v>
      </c>
      <c r="AC372" s="49">
        <f t="shared" si="212"/>
        <v>0</v>
      </c>
      <c r="AD372" s="49">
        <f t="shared" si="213"/>
        <v>0</v>
      </c>
      <c r="AE372" s="49">
        <f t="shared" si="214"/>
        <v>0</v>
      </c>
      <c r="AF372" s="49">
        <f t="shared" si="215"/>
        <v>0</v>
      </c>
      <c r="AG372" s="49">
        <f t="shared" si="216"/>
        <v>0</v>
      </c>
      <c r="AH372" s="49">
        <f t="shared" si="217"/>
        <v>0</v>
      </c>
      <c r="AI372" s="47">
        <f t="shared" si="218"/>
        <v>0</v>
      </c>
      <c r="AJ372" s="134">
        <f t="shared" si="219"/>
        <v>0</v>
      </c>
      <c r="AK372"/>
    </row>
    <row r="373" spans="2:37" ht="15" x14ac:dyDescent="0.25">
      <c r="B373" s="1" t="str">
        <f>"Vanc"&amp;"Roll Off"&amp;C373</f>
        <v>VancRoll OffCAHAUL</v>
      </c>
      <c r="C373" s="58" t="s">
        <v>658</v>
      </c>
      <c r="D373" s="58" t="s">
        <v>667</v>
      </c>
      <c r="E373" s="11">
        <v>171.88</v>
      </c>
      <c r="F373" s="11">
        <v>171.88</v>
      </c>
      <c r="G373" s="11">
        <v>181.09</v>
      </c>
      <c r="I373" s="14">
        <v>0</v>
      </c>
      <c r="J373" s="14">
        <v>0</v>
      </c>
      <c r="K373" s="14">
        <v>0</v>
      </c>
      <c r="L373" s="14">
        <v>0</v>
      </c>
      <c r="M373" s="14">
        <v>0</v>
      </c>
      <c r="N373" s="14">
        <v>0</v>
      </c>
      <c r="O373" s="14">
        <v>0</v>
      </c>
      <c r="P373" s="14">
        <v>0</v>
      </c>
      <c r="Q373" s="14">
        <v>0</v>
      </c>
      <c r="R373" s="14">
        <v>0</v>
      </c>
      <c r="S373" s="14">
        <v>0</v>
      </c>
      <c r="T373" s="14">
        <v>0</v>
      </c>
      <c r="U373" s="73">
        <f t="shared" si="205"/>
        <v>0</v>
      </c>
      <c r="W373" s="49">
        <f t="shared" si="206"/>
        <v>0</v>
      </c>
      <c r="X373" s="49">
        <f t="shared" si="207"/>
        <v>0</v>
      </c>
      <c r="Y373" s="49">
        <f t="shared" si="208"/>
        <v>0</v>
      </c>
      <c r="Z373" s="49">
        <f t="shared" si="209"/>
        <v>0</v>
      </c>
      <c r="AA373" s="49">
        <f t="shared" si="210"/>
        <v>0</v>
      </c>
      <c r="AB373" s="49">
        <f t="shared" si="211"/>
        <v>0</v>
      </c>
      <c r="AC373" s="49">
        <f t="shared" si="212"/>
        <v>0</v>
      </c>
      <c r="AD373" s="49">
        <f t="shared" si="213"/>
        <v>0</v>
      </c>
      <c r="AE373" s="49">
        <f t="shared" si="214"/>
        <v>0</v>
      </c>
      <c r="AF373" s="49">
        <f t="shared" si="215"/>
        <v>0</v>
      </c>
      <c r="AG373" s="49">
        <f t="shared" si="216"/>
        <v>0</v>
      </c>
      <c r="AH373" s="49">
        <f t="shared" si="217"/>
        <v>0</v>
      </c>
      <c r="AI373" s="47">
        <f t="shared" si="218"/>
        <v>0</v>
      </c>
      <c r="AJ373" s="134">
        <f t="shared" si="219"/>
        <v>0</v>
      </c>
      <c r="AK373"/>
    </row>
    <row r="374" spans="2:37" ht="15" x14ac:dyDescent="0.25">
      <c r="B374" s="1" t="str">
        <f t="shared" si="204"/>
        <v>VancRoll OffVHAUL15</v>
      </c>
      <c r="C374" s="58" t="s">
        <v>901</v>
      </c>
      <c r="D374" s="58" t="s">
        <v>912</v>
      </c>
      <c r="E374" s="11">
        <v>171.88</v>
      </c>
      <c r="F374" s="11">
        <v>171.88</v>
      </c>
      <c r="G374" s="11">
        <v>181.09</v>
      </c>
      <c r="I374" s="14">
        <v>1375.04</v>
      </c>
      <c r="J374" s="14">
        <v>687.52</v>
      </c>
      <c r="K374" s="14">
        <v>687.52</v>
      </c>
      <c r="L374" s="14">
        <v>515.64</v>
      </c>
      <c r="M374" s="14">
        <v>1031.28</v>
      </c>
      <c r="N374" s="14">
        <v>1718.8</v>
      </c>
      <c r="O374" s="14">
        <v>1890.68</v>
      </c>
      <c r="P374" s="14">
        <v>515.64</v>
      </c>
      <c r="Q374" s="14">
        <v>343.76</v>
      </c>
      <c r="R374" s="14">
        <v>724.36</v>
      </c>
      <c r="S374" s="14">
        <v>724.36</v>
      </c>
      <c r="T374" s="14">
        <v>362.18</v>
      </c>
      <c r="U374" s="73">
        <f t="shared" si="205"/>
        <v>10576.780000000002</v>
      </c>
      <c r="W374" s="49">
        <f t="shared" si="206"/>
        <v>8</v>
      </c>
      <c r="X374" s="49">
        <f t="shared" si="207"/>
        <v>4</v>
      </c>
      <c r="Y374" s="49">
        <f t="shared" si="208"/>
        <v>4</v>
      </c>
      <c r="Z374" s="49">
        <f t="shared" si="209"/>
        <v>3</v>
      </c>
      <c r="AA374" s="49">
        <f t="shared" si="210"/>
        <v>6</v>
      </c>
      <c r="AB374" s="49">
        <f t="shared" si="211"/>
        <v>10</v>
      </c>
      <c r="AC374" s="49">
        <f t="shared" si="212"/>
        <v>11</v>
      </c>
      <c r="AD374" s="49">
        <f t="shared" si="213"/>
        <v>3</v>
      </c>
      <c r="AE374" s="49">
        <f t="shared" si="214"/>
        <v>2</v>
      </c>
      <c r="AF374" s="49">
        <f t="shared" si="215"/>
        <v>4</v>
      </c>
      <c r="AG374" s="49">
        <f t="shared" si="216"/>
        <v>4</v>
      </c>
      <c r="AH374" s="49">
        <f t="shared" si="217"/>
        <v>2</v>
      </c>
      <c r="AI374" s="47">
        <f t="shared" si="218"/>
        <v>5.083333333333333</v>
      </c>
      <c r="AJ374" s="134">
        <f t="shared" si="219"/>
        <v>61</v>
      </c>
      <c r="AK374"/>
    </row>
    <row r="375" spans="2:37" ht="15" x14ac:dyDescent="0.25">
      <c r="B375" s="1" t="str">
        <f t="shared" si="204"/>
        <v>VancRoll OffVHAUL20</v>
      </c>
      <c r="C375" s="58" t="s">
        <v>308</v>
      </c>
      <c r="D375" s="58" t="s">
        <v>352</v>
      </c>
      <c r="E375" s="11">
        <v>171.88</v>
      </c>
      <c r="F375" s="11">
        <v>171.88</v>
      </c>
      <c r="G375" s="11">
        <v>181.09</v>
      </c>
      <c r="I375" s="14">
        <v>24578.84</v>
      </c>
      <c r="J375" s="14">
        <v>33516.6</v>
      </c>
      <c r="K375" s="14">
        <v>31797.8</v>
      </c>
      <c r="L375" s="14">
        <v>28875.84</v>
      </c>
      <c r="M375" s="14">
        <v>32088.28</v>
      </c>
      <c r="N375" s="14">
        <v>26813.279999999999</v>
      </c>
      <c r="O375" s="14">
        <v>29735.24</v>
      </c>
      <c r="P375" s="14">
        <v>26297.64</v>
      </c>
      <c r="Q375" s="14">
        <v>23547.56</v>
      </c>
      <c r="R375" s="14">
        <v>21512.87</v>
      </c>
      <c r="S375" s="14">
        <v>30966.39</v>
      </c>
      <c r="T375" s="14">
        <v>28068.95</v>
      </c>
      <c r="U375" s="73">
        <f t="shared" si="205"/>
        <v>337799.29</v>
      </c>
      <c r="W375" s="49">
        <f t="shared" si="206"/>
        <v>143</v>
      </c>
      <c r="X375" s="49">
        <f t="shared" si="207"/>
        <v>195</v>
      </c>
      <c r="Y375" s="49">
        <f t="shared" si="208"/>
        <v>185</v>
      </c>
      <c r="Z375" s="49">
        <f t="shared" si="209"/>
        <v>168</v>
      </c>
      <c r="AA375" s="49">
        <f t="shared" si="210"/>
        <v>186.69001629043518</v>
      </c>
      <c r="AB375" s="49">
        <f t="shared" si="211"/>
        <v>156</v>
      </c>
      <c r="AC375" s="49">
        <f t="shared" si="212"/>
        <v>173</v>
      </c>
      <c r="AD375" s="49">
        <f t="shared" si="213"/>
        <v>153</v>
      </c>
      <c r="AE375" s="49">
        <f t="shared" si="214"/>
        <v>137</v>
      </c>
      <c r="AF375" s="49">
        <f t="shared" si="215"/>
        <v>118.79656524380141</v>
      </c>
      <c r="AG375" s="49">
        <f t="shared" si="216"/>
        <v>171</v>
      </c>
      <c r="AH375" s="49">
        <f t="shared" si="217"/>
        <v>155</v>
      </c>
      <c r="AI375" s="47">
        <f t="shared" si="218"/>
        <v>161.7905484611864</v>
      </c>
      <c r="AJ375" s="134">
        <f t="shared" si="219"/>
        <v>1941.4865815342368</v>
      </c>
      <c r="AK375"/>
    </row>
    <row r="376" spans="2:37" ht="15" x14ac:dyDescent="0.25">
      <c r="B376" s="1" t="str">
        <f t="shared" si="204"/>
        <v>VancRoll OffVHAUL30</v>
      </c>
      <c r="C376" s="58" t="s">
        <v>309</v>
      </c>
      <c r="D376" s="58" t="s">
        <v>353</v>
      </c>
      <c r="E376" s="11">
        <v>171.88</v>
      </c>
      <c r="F376" s="11">
        <v>171.88</v>
      </c>
      <c r="G376" s="11">
        <v>181.09</v>
      </c>
      <c r="I376" s="14">
        <v>33000.959999999999</v>
      </c>
      <c r="J376" s="14">
        <v>40907.440000000002</v>
      </c>
      <c r="K376" s="14">
        <v>47267</v>
      </c>
      <c r="L376" s="14">
        <v>35579.160000000003</v>
      </c>
      <c r="M376" s="14">
        <v>42282.48</v>
      </c>
      <c r="N376" s="14">
        <v>36438.559999999998</v>
      </c>
      <c r="O376" s="14">
        <v>35235.4</v>
      </c>
      <c r="P376" s="14">
        <v>31625.919999999998</v>
      </c>
      <c r="Q376" s="14">
        <v>28016.44</v>
      </c>
      <c r="R376" s="14">
        <v>30874.29</v>
      </c>
      <c r="S376" s="14">
        <v>36580.18</v>
      </c>
      <c r="T376" s="14">
        <v>37666.720000000001</v>
      </c>
      <c r="U376" s="73">
        <f t="shared" si="205"/>
        <v>435474.54999999993</v>
      </c>
      <c r="W376" s="49">
        <f t="shared" si="206"/>
        <v>192</v>
      </c>
      <c r="X376" s="49">
        <f t="shared" si="207"/>
        <v>238.00000000000003</v>
      </c>
      <c r="Y376" s="49">
        <f t="shared" si="208"/>
        <v>275</v>
      </c>
      <c r="Z376" s="49">
        <f t="shared" si="209"/>
        <v>207.00000000000003</v>
      </c>
      <c r="AA376" s="49">
        <f t="shared" si="210"/>
        <v>246.00000000000003</v>
      </c>
      <c r="AB376" s="49">
        <f t="shared" si="211"/>
        <v>212</v>
      </c>
      <c r="AC376" s="49">
        <f t="shared" si="212"/>
        <v>205</v>
      </c>
      <c r="AD376" s="49">
        <f t="shared" si="213"/>
        <v>184</v>
      </c>
      <c r="AE376" s="49">
        <f t="shared" si="214"/>
        <v>163</v>
      </c>
      <c r="AF376" s="49">
        <f t="shared" si="215"/>
        <v>170.49141310950355</v>
      </c>
      <c r="AG376" s="49">
        <f t="shared" si="216"/>
        <v>202</v>
      </c>
      <c r="AH376" s="49">
        <f t="shared" si="217"/>
        <v>208</v>
      </c>
      <c r="AI376" s="47">
        <f t="shared" si="218"/>
        <v>208.54095109245861</v>
      </c>
      <c r="AJ376" s="134">
        <f t="shared" si="219"/>
        <v>2502.4914131095034</v>
      </c>
      <c r="AK376"/>
    </row>
    <row r="377" spans="2:37" ht="15" x14ac:dyDescent="0.25">
      <c r="B377" s="1" t="str">
        <f t="shared" si="204"/>
        <v>VancRoll OffVHAUL40</v>
      </c>
      <c r="C377" s="58" t="s">
        <v>310</v>
      </c>
      <c r="D377" s="58" t="s">
        <v>354</v>
      </c>
      <c r="E377" s="11">
        <v>171.88</v>
      </c>
      <c r="F377" s="11">
        <v>171.88</v>
      </c>
      <c r="G377" s="11">
        <v>181.09</v>
      </c>
      <c r="I377" s="14">
        <v>43829.4</v>
      </c>
      <c r="J377" s="14">
        <v>68236.36</v>
      </c>
      <c r="K377" s="14">
        <v>57407.92</v>
      </c>
      <c r="L377" s="14">
        <v>57407.92</v>
      </c>
      <c r="M377" s="14">
        <v>63079.96</v>
      </c>
      <c r="N377" s="14">
        <v>62220.56</v>
      </c>
      <c r="O377" s="14">
        <v>63939.360000000001</v>
      </c>
      <c r="P377" s="14">
        <v>59470.48</v>
      </c>
      <c r="Q377" s="14">
        <v>50532.72</v>
      </c>
      <c r="R377" s="14">
        <v>51579.91</v>
      </c>
      <c r="S377" s="14">
        <v>65192.4</v>
      </c>
      <c r="T377" s="14">
        <v>63562.59</v>
      </c>
      <c r="U377" s="73">
        <f t="shared" si="205"/>
        <v>706459.58</v>
      </c>
      <c r="W377" s="49">
        <f t="shared" si="206"/>
        <v>255.00000000000003</v>
      </c>
      <c r="X377" s="49">
        <f t="shared" si="207"/>
        <v>397</v>
      </c>
      <c r="Y377" s="49">
        <f t="shared" si="208"/>
        <v>334</v>
      </c>
      <c r="Z377" s="49">
        <f t="shared" si="209"/>
        <v>334</v>
      </c>
      <c r="AA377" s="49">
        <f t="shared" si="210"/>
        <v>367</v>
      </c>
      <c r="AB377" s="49">
        <f t="shared" si="211"/>
        <v>362</v>
      </c>
      <c r="AC377" s="49">
        <f t="shared" si="212"/>
        <v>372</v>
      </c>
      <c r="AD377" s="49">
        <f t="shared" si="213"/>
        <v>346</v>
      </c>
      <c r="AE377" s="49">
        <f t="shared" si="214"/>
        <v>294</v>
      </c>
      <c r="AF377" s="49">
        <f t="shared" si="215"/>
        <v>284.83025015185819</v>
      </c>
      <c r="AG377" s="49">
        <f t="shared" si="216"/>
        <v>360</v>
      </c>
      <c r="AH377" s="49">
        <f t="shared" si="217"/>
        <v>351</v>
      </c>
      <c r="AI377" s="47">
        <f t="shared" si="218"/>
        <v>338.06918751265488</v>
      </c>
      <c r="AJ377" s="134">
        <f t="shared" si="219"/>
        <v>4056.8302501518583</v>
      </c>
      <c r="AK377"/>
    </row>
    <row r="378" spans="2:37" ht="15" x14ac:dyDescent="0.25">
      <c r="B378" s="1" t="str">
        <f>"Vanc"&amp;"Roll Off"&amp;C378</f>
        <v>VancRoll OffVHAUL15C</v>
      </c>
      <c r="C378" s="58" t="s">
        <v>902</v>
      </c>
      <c r="D378" s="58" t="s">
        <v>913</v>
      </c>
      <c r="E378" s="11">
        <v>190.99</v>
      </c>
      <c r="F378" s="11">
        <v>190.99</v>
      </c>
      <c r="G378" s="11">
        <v>201.22</v>
      </c>
      <c r="I378" s="14">
        <v>10886.43</v>
      </c>
      <c r="J378" s="14">
        <v>12414.35</v>
      </c>
      <c r="K378" s="14">
        <v>13178.31</v>
      </c>
      <c r="L378" s="14">
        <v>12032.37</v>
      </c>
      <c r="M378" s="14">
        <v>12605.34</v>
      </c>
      <c r="N378" s="14">
        <v>12796.33</v>
      </c>
      <c r="O378" s="14">
        <v>12414.35</v>
      </c>
      <c r="P378" s="14">
        <v>12605.34</v>
      </c>
      <c r="Q378" s="14">
        <v>12605.34</v>
      </c>
      <c r="R378" s="14">
        <v>12635.94</v>
      </c>
      <c r="S378" s="14">
        <v>12073.2</v>
      </c>
      <c r="T378" s="14">
        <v>13682.96</v>
      </c>
      <c r="U378" s="73">
        <f t="shared" si="205"/>
        <v>149930.26</v>
      </c>
      <c r="W378" s="49">
        <f t="shared" si="206"/>
        <v>57</v>
      </c>
      <c r="X378" s="49">
        <f t="shared" si="207"/>
        <v>65</v>
      </c>
      <c r="Y378" s="49">
        <f t="shared" si="208"/>
        <v>69</v>
      </c>
      <c r="Z378" s="49">
        <f t="shared" si="209"/>
        <v>63</v>
      </c>
      <c r="AA378" s="49">
        <f t="shared" si="210"/>
        <v>66</v>
      </c>
      <c r="AB378" s="49">
        <f t="shared" si="211"/>
        <v>67</v>
      </c>
      <c r="AC378" s="49">
        <f t="shared" si="212"/>
        <v>65</v>
      </c>
      <c r="AD378" s="49">
        <f t="shared" si="213"/>
        <v>66</v>
      </c>
      <c r="AE378" s="49">
        <f t="shared" si="214"/>
        <v>66</v>
      </c>
      <c r="AF378" s="49">
        <f t="shared" si="215"/>
        <v>62.796640492992751</v>
      </c>
      <c r="AG378" s="49">
        <f t="shared" si="216"/>
        <v>60.000000000000007</v>
      </c>
      <c r="AH378" s="49">
        <f t="shared" si="217"/>
        <v>68</v>
      </c>
      <c r="AI378" s="47">
        <f t="shared" si="218"/>
        <v>64.566386707749402</v>
      </c>
      <c r="AJ378" s="134">
        <f t="shared" si="219"/>
        <v>774.79664049299276</v>
      </c>
      <c r="AK378"/>
    </row>
    <row r="379" spans="2:37" ht="15" x14ac:dyDescent="0.25">
      <c r="B379" s="1" t="str">
        <f t="shared" ref="B379:B386" si="220">"Vanc"&amp;"Roll Off"&amp;C379</f>
        <v>VancRoll OffVHAUL20C</v>
      </c>
      <c r="C379" s="58" t="s">
        <v>327</v>
      </c>
      <c r="D379" s="58" t="s">
        <v>372</v>
      </c>
      <c r="E379" s="11">
        <v>190.99</v>
      </c>
      <c r="F379" s="11">
        <v>190.99</v>
      </c>
      <c r="G379" s="11">
        <v>201.22</v>
      </c>
      <c r="I379" s="14">
        <v>13942.27</v>
      </c>
      <c r="J379" s="14">
        <v>18908.009999999998</v>
      </c>
      <c r="K379" s="14">
        <v>15453.73</v>
      </c>
      <c r="L379" s="14">
        <v>15262.74</v>
      </c>
      <c r="M379" s="14">
        <v>16026.7</v>
      </c>
      <c r="N379" s="14">
        <v>16234.15</v>
      </c>
      <c r="O379" s="14">
        <v>16043.16</v>
      </c>
      <c r="P379" s="14">
        <v>17380.09</v>
      </c>
      <c r="Q379" s="14">
        <v>15470.19</v>
      </c>
      <c r="R379" s="14">
        <v>15644.01</v>
      </c>
      <c r="S379" s="14">
        <v>17103.7</v>
      </c>
      <c r="T379" s="14">
        <v>16298.82</v>
      </c>
      <c r="U379" s="73">
        <f t="shared" si="205"/>
        <v>193767.57</v>
      </c>
      <c r="W379" s="49">
        <f t="shared" si="206"/>
        <v>73</v>
      </c>
      <c r="X379" s="49">
        <f t="shared" si="207"/>
        <v>98.999999999999986</v>
      </c>
      <c r="Y379" s="49">
        <f t="shared" si="208"/>
        <v>80.913817477354826</v>
      </c>
      <c r="Z379" s="49">
        <f t="shared" si="209"/>
        <v>79.913817477354826</v>
      </c>
      <c r="AA379" s="49">
        <f t="shared" si="210"/>
        <v>83.91381747735484</v>
      </c>
      <c r="AB379" s="49">
        <f t="shared" si="211"/>
        <v>85</v>
      </c>
      <c r="AC379" s="49">
        <f t="shared" si="212"/>
        <v>84</v>
      </c>
      <c r="AD379" s="49">
        <f t="shared" si="213"/>
        <v>91</v>
      </c>
      <c r="AE379" s="49">
        <f t="shared" si="214"/>
        <v>81</v>
      </c>
      <c r="AF379" s="49">
        <f t="shared" si="215"/>
        <v>77.745800616240928</v>
      </c>
      <c r="AG379" s="49">
        <f t="shared" si="216"/>
        <v>85</v>
      </c>
      <c r="AH379" s="49">
        <f t="shared" si="217"/>
        <v>81</v>
      </c>
      <c r="AI379" s="47">
        <f t="shared" si="218"/>
        <v>83.457271087358791</v>
      </c>
      <c r="AJ379" s="134">
        <f t="shared" si="219"/>
        <v>1001.4872530483054</v>
      </c>
      <c r="AK379"/>
    </row>
    <row r="380" spans="2:37" ht="15" x14ac:dyDescent="0.25">
      <c r="B380" s="1" t="str">
        <f t="shared" si="220"/>
        <v>VancRoll OffVHAUL25C</v>
      </c>
      <c r="C380" s="58" t="s">
        <v>903</v>
      </c>
      <c r="D380" s="58" t="s">
        <v>914</v>
      </c>
      <c r="E380" s="11">
        <v>190.99</v>
      </c>
      <c r="F380" s="11">
        <v>190.99</v>
      </c>
      <c r="G380" s="11">
        <v>201.22</v>
      </c>
      <c r="I380" s="14">
        <v>17189.099999999999</v>
      </c>
      <c r="J380" s="14">
        <v>17380.09</v>
      </c>
      <c r="K380" s="14">
        <v>16807.12</v>
      </c>
      <c r="L380" s="14">
        <v>17571.080000000002</v>
      </c>
      <c r="M380" s="14">
        <v>16616.13</v>
      </c>
      <c r="N380" s="14">
        <v>15661.18</v>
      </c>
      <c r="O380" s="14">
        <v>17762.07</v>
      </c>
      <c r="P380" s="14">
        <v>15852.17</v>
      </c>
      <c r="Q380" s="14">
        <v>16425.14</v>
      </c>
      <c r="R380" s="14">
        <v>17042.32</v>
      </c>
      <c r="S380" s="14">
        <v>17707.36</v>
      </c>
      <c r="T380" s="14">
        <v>17304.919999999998</v>
      </c>
      <c r="U380" s="73">
        <f t="shared" si="205"/>
        <v>203318.68</v>
      </c>
      <c r="W380" s="49">
        <f t="shared" si="206"/>
        <v>89.999999999999986</v>
      </c>
      <c r="X380" s="49">
        <f t="shared" si="207"/>
        <v>91</v>
      </c>
      <c r="Y380" s="49">
        <f t="shared" si="208"/>
        <v>87.999999999999986</v>
      </c>
      <c r="Z380" s="49">
        <f t="shared" si="209"/>
        <v>92</v>
      </c>
      <c r="AA380" s="49">
        <f t="shared" si="210"/>
        <v>87</v>
      </c>
      <c r="AB380" s="49">
        <f t="shared" si="211"/>
        <v>82</v>
      </c>
      <c r="AC380" s="49">
        <f t="shared" si="212"/>
        <v>93</v>
      </c>
      <c r="AD380" s="49">
        <f t="shared" si="213"/>
        <v>83</v>
      </c>
      <c r="AE380" s="49">
        <f t="shared" si="214"/>
        <v>85.999999999999986</v>
      </c>
      <c r="AF380" s="49">
        <f t="shared" si="215"/>
        <v>84.694960739489119</v>
      </c>
      <c r="AG380" s="49">
        <f t="shared" si="216"/>
        <v>88</v>
      </c>
      <c r="AH380" s="49">
        <f t="shared" si="217"/>
        <v>85.999999999999986</v>
      </c>
      <c r="AI380" s="47">
        <f t="shared" si="218"/>
        <v>87.557913394957424</v>
      </c>
      <c r="AJ380" s="134">
        <f t="shared" si="219"/>
        <v>1050.694960739489</v>
      </c>
      <c r="AK380"/>
    </row>
    <row r="381" spans="2:37" ht="15" x14ac:dyDescent="0.25">
      <c r="B381" s="1" t="str">
        <f t="shared" si="220"/>
        <v>VancRoll OffVHAUL30C</v>
      </c>
      <c r="C381" s="58" t="s">
        <v>659</v>
      </c>
      <c r="D381" s="58" t="s">
        <v>668</v>
      </c>
      <c r="E381" s="11">
        <v>190.99</v>
      </c>
      <c r="F381" s="11">
        <v>190.99</v>
      </c>
      <c r="G381" s="11">
        <v>201.22</v>
      </c>
      <c r="I381" s="14">
        <v>21772.86</v>
      </c>
      <c r="J381" s="14">
        <v>25401.67</v>
      </c>
      <c r="K381" s="14">
        <v>24621.25</v>
      </c>
      <c r="L381" s="14">
        <v>24828.7</v>
      </c>
      <c r="M381" s="14">
        <v>24255.73</v>
      </c>
      <c r="N381" s="14">
        <v>24828.7</v>
      </c>
      <c r="O381" s="14">
        <v>23472.66</v>
      </c>
      <c r="P381" s="14">
        <v>24828.7</v>
      </c>
      <c r="Q381" s="14">
        <v>22536.82</v>
      </c>
      <c r="R381" s="14">
        <v>25653.86</v>
      </c>
      <c r="S381" s="14">
        <v>24347.62</v>
      </c>
      <c r="T381" s="14">
        <v>25554.94</v>
      </c>
      <c r="U381" s="73">
        <f t="shared" si="205"/>
        <v>292103.51</v>
      </c>
      <c r="W381" s="49">
        <f t="shared" si="206"/>
        <v>114</v>
      </c>
      <c r="X381" s="49">
        <f t="shared" si="207"/>
        <v>132.99999999999997</v>
      </c>
      <c r="Y381" s="49">
        <f t="shared" si="208"/>
        <v>128.91381747735483</v>
      </c>
      <c r="Z381" s="49">
        <f t="shared" si="209"/>
        <v>130</v>
      </c>
      <c r="AA381" s="49">
        <f t="shared" si="210"/>
        <v>126.99999999999999</v>
      </c>
      <c r="AB381" s="49">
        <f t="shared" si="211"/>
        <v>130</v>
      </c>
      <c r="AC381" s="49">
        <f t="shared" si="212"/>
        <v>122.89994240536153</v>
      </c>
      <c r="AD381" s="49">
        <f t="shared" si="213"/>
        <v>130</v>
      </c>
      <c r="AE381" s="49">
        <f t="shared" si="214"/>
        <v>117.99999999999999</v>
      </c>
      <c r="AF381" s="49">
        <f t="shared" si="215"/>
        <v>127.49160123248187</v>
      </c>
      <c r="AG381" s="49">
        <f t="shared" si="216"/>
        <v>121</v>
      </c>
      <c r="AH381" s="49">
        <f t="shared" si="217"/>
        <v>127</v>
      </c>
      <c r="AI381" s="47">
        <f t="shared" si="218"/>
        <v>125.77544675959984</v>
      </c>
      <c r="AJ381" s="134">
        <f t="shared" si="219"/>
        <v>1509.3053611151981</v>
      </c>
      <c r="AK381"/>
    </row>
    <row r="382" spans="2:37" ht="15" x14ac:dyDescent="0.25">
      <c r="B382" s="1" t="str">
        <f t="shared" si="220"/>
        <v>VancRoll OffVHAUL40C</v>
      </c>
      <c r="C382" s="58" t="s">
        <v>904</v>
      </c>
      <c r="D382" s="58" t="s">
        <v>915</v>
      </c>
      <c r="E382" s="11">
        <v>190.99</v>
      </c>
      <c r="F382" s="11">
        <v>190.99</v>
      </c>
      <c r="G382" s="11">
        <v>201.22</v>
      </c>
      <c r="I382" s="14">
        <v>8403.56</v>
      </c>
      <c r="J382" s="14">
        <v>9358.51</v>
      </c>
      <c r="K382" s="14">
        <v>8403.56</v>
      </c>
      <c r="L382" s="14">
        <v>7830.59</v>
      </c>
      <c r="M382" s="14">
        <v>8976.5300000000007</v>
      </c>
      <c r="N382" s="14">
        <v>7830.59</v>
      </c>
      <c r="O382" s="14">
        <v>6875.64</v>
      </c>
      <c r="P382" s="14">
        <v>8403.56</v>
      </c>
      <c r="Q382" s="14">
        <v>9167.52</v>
      </c>
      <c r="R382" s="14">
        <v>7032.47</v>
      </c>
      <c r="S382" s="14">
        <v>7243.92</v>
      </c>
      <c r="T382" s="14">
        <v>8451.24</v>
      </c>
      <c r="U382" s="73">
        <f t="shared" si="205"/>
        <v>97977.69</v>
      </c>
      <c r="W382" s="49">
        <f t="shared" si="206"/>
        <v>43.999999999999993</v>
      </c>
      <c r="X382" s="49">
        <f t="shared" si="207"/>
        <v>49</v>
      </c>
      <c r="Y382" s="49">
        <f t="shared" si="208"/>
        <v>43.999999999999993</v>
      </c>
      <c r="Z382" s="49">
        <f t="shared" si="209"/>
        <v>41</v>
      </c>
      <c r="AA382" s="49">
        <f t="shared" si="210"/>
        <v>47</v>
      </c>
      <c r="AB382" s="49">
        <f t="shared" si="211"/>
        <v>41</v>
      </c>
      <c r="AC382" s="49">
        <f t="shared" si="212"/>
        <v>36</v>
      </c>
      <c r="AD382" s="49">
        <f t="shared" si="213"/>
        <v>43.999999999999993</v>
      </c>
      <c r="AE382" s="49">
        <f t="shared" si="214"/>
        <v>48</v>
      </c>
      <c r="AF382" s="49">
        <f t="shared" si="215"/>
        <v>34.949160123248184</v>
      </c>
      <c r="AG382" s="49">
        <f t="shared" si="216"/>
        <v>36</v>
      </c>
      <c r="AH382" s="49">
        <f t="shared" si="217"/>
        <v>42</v>
      </c>
      <c r="AI382" s="47">
        <f t="shared" si="218"/>
        <v>42.245763343604018</v>
      </c>
      <c r="AJ382" s="134">
        <f t="shared" si="219"/>
        <v>506.94916012324819</v>
      </c>
      <c r="AK382"/>
    </row>
    <row r="383" spans="2:37" ht="15" x14ac:dyDescent="0.25">
      <c r="B383" s="1" t="str">
        <f>"Vanc"&amp;"Roll Off"&amp;C383</f>
        <v>VancRoll OffCCOMP15</v>
      </c>
      <c r="C383" s="58" t="s">
        <v>322</v>
      </c>
      <c r="D383" s="58" t="s">
        <v>367</v>
      </c>
      <c r="E383" s="11">
        <v>190.99</v>
      </c>
      <c r="F383" s="11">
        <v>190.99</v>
      </c>
      <c r="G383" s="11">
        <v>201.22</v>
      </c>
      <c r="I383" s="14">
        <v>0</v>
      </c>
      <c r="J383" s="14">
        <v>0</v>
      </c>
      <c r="K383" s="14">
        <v>0</v>
      </c>
      <c r="L383" s="14">
        <v>0</v>
      </c>
      <c r="M383" s="14">
        <v>0</v>
      </c>
      <c r="N383" s="14">
        <v>0</v>
      </c>
      <c r="O383" s="14">
        <v>0</v>
      </c>
      <c r="P383" s="14">
        <v>0</v>
      </c>
      <c r="Q383" s="14">
        <v>0</v>
      </c>
      <c r="R383" s="14">
        <v>0</v>
      </c>
      <c r="S383" s="14">
        <v>0</v>
      </c>
      <c r="T383" s="14">
        <v>201.22</v>
      </c>
      <c r="U383" s="73">
        <f>SUM(I383:T383)</f>
        <v>201.22</v>
      </c>
      <c r="W383" s="49">
        <f t="shared" si="206"/>
        <v>0</v>
      </c>
      <c r="X383" s="49">
        <f t="shared" si="207"/>
        <v>0</v>
      </c>
      <c r="Y383" s="49">
        <f t="shared" si="208"/>
        <v>0</v>
      </c>
      <c r="Z383" s="49">
        <f t="shared" si="209"/>
        <v>0</v>
      </c>
      <c r="AA383" s="49">
        <f t="shared" si="210"/>
        <v>0</v>
      </c>
      <c r="AB383" s="49">
        <f t="shared" si="211"/>
        <v>0</v>
      </c>
      <c r="AC383" s="49">
        <f t="shared" si="212"/>
        <v>0</v>
      </c>
      <c r="AD383" s="49">
        <f t="shared" si="213"/>
        <v>0</v>
      </c>
      <c r="AE383" s="49">
        <f t="shared" si="214"/>
        <v>0</v>
      </c>
      <c r="AF383" s="49">
        <f t="shared" si="215"/>
        <v>0</v>
      </c>
      <c r="AG383" s="49">
        <f t="shared" si="216"/>
        <v>0</v>
      </c>
      <c r="AH383" s="49">
        <f t="shared" si="217"/>
        <v>1</v>
      </c>
      <c r="AI383" s="47">
        <f>+IFERROR(AVERAGE(W383:AH383),0)</f>
        <v>8.3333333333333329E-2</v>
      </c>
      <c r="AJ383" s="134">
        <f>SUM(W383:AH383)</f>
        <v>1</v>
      </c>
      <c r="AK383"/>
    </row>
    <row r="384" spans="2:37" ht="15" x14ac:dyDescent="0.25">
      <c r="B384" s="1" t="str">
        <f t="shared" si="220"/>
        <v>VancRoll OffCCOMP20</v>
      </c>
      <c r="C384" s="58" t="s">
        <v>323</v>
      </c>
      <c r="D384" s="58" t="s">
        <v>368</v>
      </c>
      <c r="E384" s="11">
        <v>190.99</v>
      </c>
      <c r="F384" s="11">
        <v>190.99</v>
      </c>
      <c r="G384" s="11">
        <v>201.22</v>
      </c>
      <c r="I384" s="14">
        <v>0</v>
      </c>
      <c r="J384" s="14">
        <v>190.99</v>
      </c>
      <c r="K384" s="14">
        <v>0</v>
      </c>
      <c r="L384" s="14">
        <v>0</v>
      </c>
      <c r="M384" s="14">
        <v>0</v>
      </c>
      <c r="N384" s="14">
        <v>0</v>
      </c>
      <c r="O384" s="14">
        <v>0</v>
      </c>
      <c r="P384" s="14">
        <v>0</v>
      </c>
      <c r="Q384" s="14">
        <v>0</v>
      </c>
      <c r="R384" s="14">
        <v>201.22</v>
      </c>
      <c r="S384" s="14">
        <v>0</v>
      </c>
      <c r="T384" s="14">
        <v>0</v>
      </c>
      <c r="U384" s="73">
        <f t="shared" si="205"/>
        <v>392.21000000000004</v>
      </c>
      <c r="W384" s="49">
        <f t="shared" si="206"/>
        <v>0</v>
      </c>
      <c r="X384" s="49">
        <f t="shared" si="207"/>
        <v>1</v>
      </c>
      <c r="Y384" s="49">
        <f t="shared" si="208"/>
        <v>0</v>
      </c>
      <c r="Z384" s="49">
        <f t="shared" si="209"/>
        <v>0</v>
      </c>
      <c r="AA384" s="49">
        <f t="shared" si="210"/>
        <v>0</v>
      </c>
      <c r="AB384" s="49">
        <f t="shared" si="211"/>
        <v>0</v>
      </c>
      <c r="AC384" s="49">
        <f t="shared" si="212"/>
        <v>0</v>
      </c>
      <c r="AD384" s="49">
        <f t="shared" si="213"/>
        <v>0</v>
      </c>
      <c r="AE384" s="49">
        <f t="shared" si="214"/>
        <v>0</v>
      </c>
      <c r="AF384" s="49">
        <f t="shared" si="215"/>
        <v>1</v>
      </c>
      <c r="AG384" s="49">
        <f t="shared" si="216"/>
        <v>0</v>
      </c>
      <c r="AH384" s="49">
        <f t="shared" si="217"/>
        <v>0</v>
      </c>
      <c r="AI384" s="47">
        <f t="shared" si="218"/>
        <v>0.16666666666666666</v>
      </c>
      <c r="AJ384" s="134">
        <f t="shared" si="219"/>
        <v>2</v>
      </c>
      <c r="AK384"/>
    </row>
    <row r="385" spans="2:47" ht="15" x14ac:dyDescent="0.25">
      <c r="B385" s="1" t="str">
        <f t="shared" si="220"/>
        <v>VancRoll OffCCOMP25</v>
      </c>
      <c r="C385" s="58" t="s">
        <v>324</v>
      </c>
      <c r="D385" s="58" t="s">
        <v>369</v>
      </c>
      <c r="E385" s="11">
        <v>190.99</v>
      </c>
      <c r="F385" s="11">
        <v>190.99</v>
      </c>
      <c r="G385" s="11">
        <v>201.22</v>
      </c>
      <c r="I385" s="14">
        <v>0</v>
      </c>
      <c r="J385" s="14">
        <v>0</v>
      </c>
      <c r="K385" s="14">
        <v>0</v>
      </c>
      <c r="L385" s="14">
        <v>0</v>
      </c>
      <c r="M385" s="14">
        <v>190.99</v>
      </c>
      <c r="N385" s="14">
        <v>0</v>
      </c>
      <c r="O385" s="14">
        <v>0</v>
      </c>
      <c r="P385" s="14">
        <v>0</v>
      </c>
      <c r="Q385" s="14">
        <v>0</v>
      </c>
      <c r="R385" s="14">
        <v>0</v>
      </c>
      <c r="S385" s="14">
        <v>0</v>
      </c>
      <c r="T385" s="14">
        <v>0</v>
      </c>
      <c r="U385" s="73">
        <f t="shared" si="205"/>
        <v>190.99</v>
      </c>
      <c r="W385" s="49">
        <f t="shared" si="206"/>
        <v>0</v>
      </c>
      <c r="X385" s="49">
        <f t="shared" si="207"/>
        <v>0</v>
      </c>
      <c r="Y385" s="49">
        <f t="shared" si="208"/>
        <v>0</v>
      </c>
      <c r="Z385" s="49">
        <f t="shared" si="209"/>
        <v>0</v>
      </c>
      <c r="AA385" s="49">
        <f t="shared" si="210"/>
        <v>1</v>
      </c>
      <c r="AB385" s="49">
        <f t="shared" si="211"/>
        <v>0</v>
      </c>
      <c r="AC385" s="49">
        <f t="shared" si="212"/>
        <v>0</v>
      </c>
      <c r="AD385" s="49">
        <f t="shared" si="213"/>
        <v>0</v>
      </c>
      <c r="AE385" s="49">
        <f t="shared" si="214"/>
        <v>0</v>
      </c>
      <c r="AF385" s="49">
        <f t="shared" si="215"/>
        <v>0</v>
      </c>
      <c r="AG385" s="49">
        <f t="shared" si="216"/>
        <v>0</v>
      </c>
      <c r="AH385" s="49">
        <f t="shared" si="217"/>
        <v>0</v>
      </c>
      <c r="AI385" s="47">
        <f t="shared" si="218"/>
        <v>8.3333333333333329E-2</v>
      </c>
      <c r="AJ385" s="134">
        <f t="shared" si="219"/>
        <v>1</v>
      </c>
      <c r="AK385"/>
    </row>
    <row r="386" spans="2:47" ht="15" x14ac:dyDescent="0.25">
      <c r="B386" s="1" t="str">
        <f t="shared" si="220"/>
        <v>VancRoll OffCCOMP30</v>
      </c>
      <c r="C386" s="58" t="s">
        <v>325</v>
      </c>
      <c r="D386" s="58" t="s">
        <v>370</v>
      </c>
      <c r="E386" s="11">
        <v>190.99</v>
      </c>
      <c r="F386" s="11">
        <v>190.99</v>
      </c>
      <c r="G386" s="11">
        <v>201.22</v>
      </c>
      <c r="I386" s="14">
        <v>0</v>
      </c>
      <c r="J386" s="14">
        <v>0</v>
      </c>
      <c r="K386" s="14">
        <v>0</v>
      </c>
      <c r="L386" s="14">
        <v>0</v>
      </c>
      <c r="M386" s="14">
        <v>0</v>
      </c>
      <c r="N386" s="14">
        <v>0</v>
      </c>
      <c r="O386" s="14">
        <v>0</v>
      </c>
      <c r="P386" s="14">
        <v>0</v>
      </c>
      <c r="Q386" s="14">
        <v>0</v>
      </c>
      <c r="R386" s="14">
        <v>0</v>
      </c>
      <c r="S386" s="14">
        <v>0</v>
      </c>
      <c r="T386" s="14">
        <v>0</v>
      </c>
      <c r="U386" s="73">
        <f t="shared" si="205"/>
        <v>0</v>
      </c>
      <c r="W386" s="49">
        <f t="shared" si="206"/>
        <v>0</v>
      </c>
      <c r="X386" s="49">
        <f t="shared" si="207"/>
        <v>0</v>
      </c>
      <c r="Y386" s="49">
        <f t="shared" si="208"/>
        <v>0</v>
      </c>
      <c r="Z386" s="49">
        <f t="shared" si="209"/>
        <v>0</v>
      </c>
      <c r="AA386" s="49">
        <f t="shared" si="210"/>
        <v>0</v>
      </c>
      <c r="AB386" s="49">
        <f t="shared" si="211"/>
        <v>0</v>
      </c>
      <c r="AC386" s="49">
        <f t="shared" si="212"/>
        <v>0</v>
      </c>
      <c r="AD386" s="49">
        <f t="shared" si="213"/>
        <v>0</v>
      </c>
      <c r="AE386" s="49">
        <f t="shared" si="214"/>
        <v>0</v>
      </c>
      <c r="AF386" s="49">
        <f t="shared" si="215"/>
        <v>0</v>
      </c>
      <c r="AG386" s="49">
        <f t="shared" si="216"/>
        <v>0</v>
      </c>
      <c r="AH386" s="49">
        <f t="shared" si="217"/>
        <v>0</v>
      </c>
      <c r="AI386" s="47">
        <f t="shared" si="218"/>
        <v>0</v>
      </c>
      <c r="AJ386" s="134">
        <f t="shared" si="219"/>
        <v>0</v>
      </c>
      <c r="AK386"/>
    </row>
    <row r="387" spans="2:47" ht="15" x14ac:dyDescent="0.25">
      <c r="B387" s="1" t="str">
        <f>"Vanc"&amp;"Roll Off"&amp;C387</f>
        <v>VancRoll OffCCOMP40</v>
      </c>
      <c r="C387" s="289" t="s">
        <v>326</v>
      </c>
      <c r="D387" s="289" t="s">
        <v>371</v>
      </c>
      <c r="E387" s="11">
        <v>190.99</v>
      </c>
      <c r="F387" s="11">
        <v>190.99</v>
      </c>
      <c r="G387" s="11">
        <v>201.22</v>
      </c>
      <c r="I387" s="14">
        <v>0</v>
      </c>
      <c r="J387" s="14">
        <v>0</v>
      </c>
      <c r="K387" s="14">
        <v>-190.99</v>
      </c>
      <c r="L387" s="14">
        <v>0</v>
      </c>
      <c r="M387" s="14">
        <v>0</v>
      </c>
      <c r="N387" s="14">
        <v>0</v>
      </c>
      <c r="O387" s="14">
        <v>0</v>
      </c>
      <c r="P387" s="14">
        <v>0</v>
      </c>
      <c r="Q387" s="14">
        <v>0</v>
      </c>
      <c r="R387" s="14">
        <v>0</v>
      </c>
      <c r="S387" s="14">
        <v>0</v>
      </c>
      <c r="T387" s="14">
        <v>0</v>
      </c>
      <c r="U387" s="73">
        <f>SUM(I387:T387)</f>
        <v>-190.99</v>
      </c>
      <c r="W387" s="49">
        <f t="shared" si="206"/>
        <v>0</v>
      </c>
      <c r="X387" s="49">
        <f t="shared" si="207"/>
        <v>0</v>
      </c>
      <c r="Y387" s="49">
        <f t="shared" si="208"/>
        <v>-1</v>
      </c>
      <c r="Z387" s="49">
        <f t="shared" si="209"/>
        <v>0</v>
      </c>
      <c r="AA387" s="49">
        <f t="shared" si="210"/>
        <v>0</v>
      </c>
      <c r="AB387" s="49">
        <f t="shared" si="211"/>
        <v>0</v>
      </c>
      <c r="AC387" s="49">
        <f t="shared" si="212"/>
        <v>0</v>
      </c>
      <c r="AD387" s="49">
        <f t="shared" si="213"/>
        <v>0</v>
      </c>
      <c r="AE387" s="49">
        <f t="shared" si="214"/>
        <v>0</v>
      </c>
      <c r="AF387" s="49">
        <f t="shared" si="215"/>
        <v>0</v>
      </c>
      <c r="AG387" s="49">
        <f t="shared" si="216"/>
        <v>0</v>
      </c>
      <c r="AH387" s="49">
        <f t="shared" si="217"/>
        <v>0</v>
      </c>
      <c r="AI387" s="47">
        <f>+IFERROR(AVERAGE(W387:AH387),0)</f>
        <v>-8.3333333333333329E-2</v>
      </c>
      <c r="AJ387" s="134">
        <f>SUM(W387:AH387)</f>
        <v>-1</v>
      </c>
      <c r="AK387"/>
    </row>
    <row r="388" spans="2:47" s="274" customFormat="1" ht="15" x14ac:dyDescent="0.25">
      <c r="B388" s="241" t="str">
        <f t="shared" si="204"/>
        <v>VancRoll OffVDEM15</v>
      </c>
      <c r="C388" s="232" t="s">
        <v>905</v>
      </c>
      <c r="D388" s="232" t="s">
        <v>373</v>
      </c>
      <c r="E388" s="238">
        <v>123.39</v>
      </c>
      <c r="F388" s="238">
        <v>123.39</v>
      </c>
      <c r="G388" s="238">
        <v>130</v>
      </c>
      <c r="I388" s="243">
        <v>127.47999999999999</v>
      </c>
      <c r="J388" s="243">
        <v>518.22</v>
      </c>
      <c r="K388" s="243">
        <v>320.81</v>
      </c>
      <c r="L388" s="243">
        <v>246.78</v>
      </c>
      <c r="M388" s="243">
        <v>246.78</v>
      </c>
      <c r="N388" s="243">
        <v>366.06</v>
      </c>
      <c r="O388" s="243">
        <v>505.9</v>
      </c>
      <c r="P388" s="243">
        <v>246.78</v>
      </c>
      <c r="Q388" s="243">
        <v>246.78</v>
      </c>
      <c r="R388" s="243">
        <v>229.67</v>
      </c>
      <c r="S388" s="243">
        <v>130</v>
      </c>
      <c r="T388" s="243">
        <v>173.34</v>
      </c>
      <c r="U388" s="263">
        <f t="shared" si="205"/>
        <v>3358.6000000000004</v>
      </c>
      <c r="W388" s="264">
        <f t="shared" si="206"/>
        <v>1.0331469324904772</v>
      </c>
      <c r="X388" s="264">
        <f t="shared" si="207"/>
        <v>4.199854121079504</v>
      </c>
      <c r="Y388" s="264">
        <f t="shared" si="208"/>
        <v>2.5999675824621118</v>
      </c>
      <c r="Z388" s="264">
        <f t="shared" si="209"/>
        <v>2</v>
      </c>
      <c r="AA388" s="264">
        <f t="shared" si="210"/>
        <v>2</v>
      </c>
      <c r="AB388" s="264">
        <f t="shared" si="211"/>
        <v>2.9666909798200827</v>
      </c>
      <c r="AC388" s="264">
        <f t="shared" si="212"/>
        <v>4.1000081043844716</v>
      </c>
      <c r="AD388" s="264">
        <f t="shared" si="213"/>
        <v>2</v>
      </c>
      <c r="AE388" s="264">
        <f t="shared" si="214"/>
        <v>2</v>
      </c>
      <c r="AF388" s="264">
        <f t="shared" si="215"/>
        <v>1.7666923076923076</v>
      </c>
      <c r="AG388" s="264">
        <f t="shared" si="216"/>
        <v>1</v>
      </c>
      <c r="AH388" s="264">
        <f t="shared" si="217"/>
        <v>1.3333846153846154</v>
      </c>
      <c r="AI388" s="265">
        <f t="shared" ref="AI388:AI393" si="221">+IFERROR(AVERAGE(W388:AH388),0)</f>
        <v>2.2499787202761308</v>
      </c>
      <c r="AJ388" s="266">
        <f t="shared" si="219"/>
        <v>26.999744643313569</v>
      </c>
      <c r="AK388" s="262"/>
      <c r="AN388" s="241">
        <v>0</v>
      </c>
      <c r="AO388" s="240">
        <f t="shared" ref="AO388:AO394" si="222">+$AI388*AN388</f>
        <v>0</v>
      </c>
      <c r="AP388" s="241">
        <v>0</v>
      </c>
      <c r="AQ388" s="240">
        <f t="shared" ref="AQ388:AQ394" si="223">+$AI388*AP388</f>
        <v>0</v>
      </c>
      <c r="AR388" s="241">
        <v>1</v>
      </c>
      <c r="AS388" s="240">
        <f t="shared" ref="AS388:AS394" si="224">+$AI388*AR388</f>
        <v>2.2499787202761308</v>
      </c>
      <c r="AT388" s="241">
        <v>0</v>
      </c>
      <c r="AU388" s="240">
        <f t="shared" ref="AU388:AU394" si="225">+$AI388*AT388</f>
        <v>0</v>
      </c>
    </row>
    <row r="389" spans="2:47" s="274" customFormat="1" ht="15" x14ac:dyDescent="0.25">
      <c r="B389" s="241" t="str">
        <f t="shared" si="204"/>
        <v>VancRoll OffVDEM20</v>
      </c>
      <c r="C389" s="232" t="s">
        <v>906</v>
      </c>
      <c r="D389" s="232" t="s">
        <v>374</v>
      </c>
      <c r="E389" s="238">
        <v>123.39</v>
      </c>
      <c r="F389" s="238">
        <v>123.39</v>
      </c>
      <c r="G389" s="238">
        <v>130</v>
      </c>
      <c r="I389" s="243">
        <v>10730.470000000001</v>
      </c>
      <c r="J389" s="243">
        <v>10590.64</v>
      </c>
      <c r="K389" s="243">
        <v>11006.15</v>
      </c>
      <c r="L389" s="243">
        <v>11627.019999999999</v>
      </c>
      <c r="M389" s="243">
        <v>12001.369999999999</v>
      </c>
      <c r="N389" s="243">
        <v>10981.63</v>
      </c>
      <c r="O389" s="243">
        <v>12116.31</v>
      </c>
      <c r="P389" s="243">
        <v>11146.31</v>
      </c>
      <c r="Q389" s="243">
        <v>10952.96</v>
      </c>
      <c r="R389" s="243">
        <v>10302.380000000001</v>
      </c>
      <c r="S389" s="243">
        <v>11026.19</v>
      </c>
      <c r="T389" s="243">
        <v>10553.01</v>
      </c>
      <c r="U389" s="263">
        <f t="shared" si="205"/>
        <v>133034.44</v>
      </c>
      <c r="W389" s="264">
        <f t="shared" si="206"/>
        <v>86.963854445254896</v>
      </c>
      <c r="X389" s="264">
        <f t="shared" si="207"/>
        <v>85.830618364535212</v>
      </c>
      <c r="Y389" s="264">
        <f t="shared" si="208"/>
        <v>89.198071156495658</v>
      </c>
      <c r="Z389" s="264">
        <f t="shared" si="209"/>
        <v>94.229840343625895</v>
      </c>
      <c r="AA389" s="264">
        <f t="shared" si="210"/>
        <v>97.26371667071885</v>
      </c>
      <c r="AB389" s="264">
        <f t="shared" si="211"/>
        <v>88.999351649242229</v>
      </c>
      <c r="AC389" s="264">
        <f t="shared" si="212"/>
        <v>98.195234621930453</v>
      </c>
      <c r="AD389" s="264">
        <f t="shared" si="213"/>
        <v>90.333981684091086</v>
      </c>
      <c r="AE389" s="264">
        <f t="shared" si="214"/>
        <v>88.766998946430007</v>
      </c>
      <c r="AF389" s="264">
        <f t="shared" si="215"/>
        <v>79.249076923076927</v>
      </c>
      <c r="AG389" s="264">
        <f t="shared" si="216"/>
        <v>84.816846153846157</v>
      </c>
      <c r="AH389" s="264">
        <f t="shared" si="217"/>
        <v>81.177000000000007</v>
      </c>
      <c r="AI389" s="265">
        <f t="shared" si="221"/>
        <v>88.75204924660396</v>
      </c>
      <c r="AJ389" s="266">
        <f t="shared" si="219"/>
        <v>1065.0245909592475</v>
      </c>
      <c r="AK389" s="262"/>
      <c r="AN389" s="241">
        <v>0</v>
      </c>
      <c r="AO389" s="240">
        <f t="shared" si="222"/>
        <v>0</v>
      </c>
      <c r="AP389" s="241">
        <v>0</v>
      </c>
      <c r="AQ389" s="240">
        <f t="shared" si="223"/>
        <v>0</v>
      </c>
      <c r="AR389" s="241">
        <v>1</v>
      </c>
      <c r="AS389" s="240">
        <f t="shared" si="224"/>
        <v>88.75204924660396</v>
      </c>
      <c r="AT389" s="241">
        <v>0</v>
      </c>
      <c r="AU389" s="240">
        <f t="shared" si="225"/>
        <v>0</v>
      </c>
    </row>
    <row r="390" spans="2:47" s="274" customFormat="1" ht="15" x14ac:dyDescent="0.25">
      <c r="B390" s="241" t="str">
        <f t="shared" si="204"/>
        <v>VancRoll OffVDEM30</v>
      </c>
      <c r="C390" s="232" t="s">
        <v>907</v>
      </c>
      <c r="D390" s="232" t="s">
        <v>375</v>
      </c>
      <c r="E390" s="238">
        <v>123.39</v>
      </c>
      <c r="F390" s="238">
        <v>123.39</v>
      </c>
      <c r="G390" s="238">
        <v>130</v>
      </c>
      <c r="I390" s="243">
        <v>13609.63</v>
      </c>
      <c r="J390" s="243">
        <v>13875.72</v>
      </c>
      <c r="K390" s="243">
        <v>15147.81</v>
      </c>
      <c r="L390" s="243">
        <v>14514.57</v>
      </c>
      <c r="M390" s="243">
        <v>14461.03</v>
      </c>
      <c r="N390" s="243">
        <v>13943.06</v>
      </c>
      <c r="O390" s="243">
        <v>13309.689999999999</v>
      </c>
      <c r="P390" s="243">
        <v>13441.34</v>
      </c>
      <c r="Q390" s="243">
        <v>12487.08</v>
      </c>
      <c r="R390" s="243">
        <v>13392.150000000001</v>
      </c>
      <c r="S390" s="243">
        <v>13186.36</v>
      </c>
      <c r="T390" s="243">
        <v>14603.47</v>
      </c>
      <c r="U390" s="263">
        <f t="shared" si="205"/>
        <v>165971.91</v>
      </c>
      <c r="W390" s="264">
        <f t="shared" si="206"/>
        <v>110.29767404165653</v>
      </c>
      <c r="X390" s="264">
        <f t="shared" si="207"/>
        <v>112.45416970581084</v>
      </c>
      <c r="Y390" s="264">
        <f t="shared" si="208"/>
        <v>122.76367614879649</v>
      </c>
      <c r="Z390" s="264">
        <f t="shared" si="209"/>
        <v>117.63165572574762</v>
      </c>
      <c r="AA390" s="264">
        <f t="shared" si="210"/>
        <v>117.19774698111679</v>
      </c>
      <c r="AB390" s="264">
        <f t="shared" si="211"/>
        <v>112.99991895615527</v>
      </c>
      <c r="AC390" s="264">
        <f t="shared" si="212"/>
        <v>107.86684496312503</v>
      </c>
      <c r="AD390" s="264">
        <f t="shared" si="213"/>
        <v>108.93378717886377</v>
      </c>
      <c r="AE390" s="264">
        <f t="shared" si="214"/>
        <v>101.20009725261366</v>
      </c>
      <c r="AF390" s="264">
        <f t="shared" si="215"/>
        <v>103.01653846153847</v>
      </c>
      <c r="AG390" s="264">
        <f t="shared" si="216"/>
        <v>101.43353846153846</v>
      </c>
      <c r="AH390" s="264">
        <f t="shared" si="217"/>
        <v>112.33438461538461</v>
      </c>
      <c r="AI390" s="265">
        <f t="shared" si="221"/>
        <v>110.67750270769564</v>
      </c>
      <c r="AJ390" s="266">
        <f t="shared" si="219"/>
        <v>1328.1300324923477</v>
      </c>
      <c r="AK390" s="262"/>
      <c r="AN390" s="241">
        <v>0</v>
      </c>
      <c r="AO390" s="240">
        <f t="shared" si="222"/>
        <v>0</v>
      </c>
      <c r="AP390" s="241">
        <v>0</v>
      </c>
      <c r="AQ390" s="240">
        <f t="shared" si="223"/>
        <v>0</v>
      </c>
      <c r="AR390" s="241">
        <v>1</v>
      </c>
      <c r="AS390" s="240">
        <f t="shared" si="224"/>
        <v>110.67750270769564</v>
      </c>
      <c r="AT390" s="241">
        <v>0</v>
      </c>
      <c r="AU390" s="240">
        <f t="shared" si="225"/>
        <v>0</v>
      </c>
    </row>
    <row r="391" spans="2:47" s="274" customFormat="1" ht="15" x14ac:dyDescent="0.25">
      <c r="B391" s="241" t="str">
        <f t="shared" si="204"/>
        <v>VancRoll OffVDEM40</v>
      </c>
      <c r="C391" s="232" t="s">
        <v>908</v>
      </c>
      <c r="D391" s="232" t="s">
        <v>376</v>
      </c>
      <c r="E391" s="238">
        <v>123.39</v>
      </c>
      <c r="F391" s="238">
        <v>123.39</v>
      </c>
      <c r="G391" s="238">
        <v>130</v>
      </c>
      <c r="I391" s="243">
        <v>14995.82</v>
      </c>
      <c r="J391" s="243">
        <v>15797.82</v>
      </c>
      <c r="K391" s="243">
        <v>16328.400000000001</v>
      </c>
      <c r="L391" s="243">
        <v>16834.199999999997</v>
      </c>
      <c r="M391" s="243">
        <v>16928.810000000001</v>
      </c>
      <c r="N391" s="243">
        <v>17410.34</v>
      </c>
      <c r="O391" s="243">
        <v>16690.599999999999</v>
      </c>
      <c r="P391" s="243">
        <v>15489.6</v>
      </c>
      <c r="Q391" s="243">
        <v>14531.26</v>
      </c>
      <c r="R391" s="243">
        <v>15644.73</v>
      </c>
      <c r="S391" s="243">
        <v>15656.25</v>
      </c>
      <c r="T391" s="243">
        <v>14416.16</v>
      </c>
      <c r="U391" s="263">
        <f t="shared" si="205"/>
        <v>190723.99000000002</v>
      </c>
      <c r="W391" s="264">
        <f t="shared" si="206"/>
        <v>121.53189075289731</v>
      </c>
      <c r="X391" s="264">
        <f t="shared" si="207"/>
        <v>128.03160709944081</v>
      </c>
      <c r="Y391" s="264">
        <f t="shared" si="208"/>
        <v>132.33163141259422</v>
      </c>
      <c r="Z391" s="264">
        <f t="shared" si="209"/>
        <v>136.43082907853147</v>
      </c>
      <c r="AA391" s="264">
        <f t="shared" si="210"/>
        <v>137.19758489342735</v>
      </c>
      <c r="AB391" s="264">
        <f t="shared" si="211"/>
        <v>141.10008914822919</v>
      </c>
      <c r="AC391" s="264">
        <f t="shared" si="212"/>
        <v>135.26703946835238</v>
      </c>
      <c r="AD391" s="264">
        <f t="shared" si="213"/>
        <v>125.53367371748116</v>
      </c>
      <c r="AE391" s="264">
        <f t="shared" si="214"/>
        <v>117.76691790258531</v>
      </c>
      <c r="AF391" s="264">
        <f t="shared" si="215"/>
        <v>120.34407692307693</v>
      </c>
      <c r="AG391" s="264">
        <f t="shared" si="216"/>
        <v>120.43269230769231</v>
      </c>
      <c r="AH391" s="264">
        <f t="shared" si="217"/>
        <v>110.89353846153845</v>
      </c>
      <c r="AI391" s="265">
        <f t="shared" si="221"/>
        <v>127.23846426382056</v>
      </c>
      <c r="AJ391" s="266">
        <f t="shared" si="219"/>
        <v>1526.8615711658467</v>
      </c>
      <c r="AK391" s="262"/>
      <c r="AN391" s="241">
        <v>0</v>
      </c>
      <c r="AO391" s="240">
        <f t="shared" si="222"/>
        <v>0</v>
      </c>
      <c r="AP391" s="241">
        <v>0</v>
      </c>
      <c r="AQ391" s="240">
        <f t="shared" si="223"/>
        <v>0</v>
      </c>
      <c r="AR391" s="241">
        <v>1</v>
      </c>
      <c r="AS391" s="240">
        <f t="shared" si="224"/>
        <v>127.23846426382056</v>
      </c>
      <c r="AT391" s="241">
        <v>0</v>
      </c>
      <c r="AU391" s="240">
        <f t="shared" si="225"/>
        <v>0</v>
      </c>
    </row>
    <row r="392" spans="2:47" s="274" customFormat="1" ht="15" x14ac:dyDescent="0.25">
      <c r="B392" s="241" t="str">
        <f t="shared" si="204"/>
        <v>VancRoll OffCTDEM20</v>
      </c>
      <c r="C392" s="232" t="s">
        <v>333</v>
      </c>
      <c r="D392" s="232" t="s">
        <v>378</v>
      </c>
      <c r="E392" s="238">
        <v>123.39</v>
      </c>
      <c r="F392" s="238">
        <v>123.39</v>
      </c>
      <c r="G392" s="238">
        <v>130</v>
      </c>
      <c r="I392" s="243">
        <v>0</v>
      </c>
      <c r="J392" s="243">
        <v>0</v>
      </c>
      <c r="K392" s="243">
        <v>0</v>
      </c>
      <c r="L392" s="243">
        <v>53.46</v>
      </c>
      <c r="M392" s="243">
        <v>20.57</v>
      </c>
      <c r="N392" s="243">
        <v>0</v>
      </c>
      <c r="O392" s="243">
        <v>0</v>
      </c>
      <c r="P392" s="243">
        <v>0</v>
      </c>
      <c r="Q392" s="243">
        <v>0</v>
      </c>
      <c r="R392" s="243">
        <v>0</v>
      </c>
      <c r="S392" s="243">
        <v>0</v>
      </c>
      <c r="T392" s="243">
        <v>0</v>
      </c>
      <c r="U392" s="263">
        <f t="shared" si="205"/>
        <v>74.03</v>
      </c>
      <c r="W392" s="264">
        <f t="shared" si="206"/>
        <v>0</v>
      </c>
      <c r="X392" s="264">
        <f t="shared" si="207"/>
        <v>0</v>
      </c>
      <c r="Y392" s="264">
        <f t="shared" si="208"/>
        <v>0</v>
      </c>
      <c r="Z392" s="264">
        <f t="shared" si="209"/>
        <v>0.43326039387308535</v>
      </c>
      <c r="AA392" s="264">
        <f t="shared" si="210"/>
        <v>0.16670718858902667</v>
      </c>
      <c r="AB392" s="264">
        <f t="shared" si="211"/>
        <v>0</v>
      </c>
      <c r="AC392" s="264">
        <f t="shared" si="212"/>
        <v>0</v>
      </c>
      <c r="AD392" s="264">
        <f t="shared" si="213"/>
        <v>0</v>
      </c>
      <c r="AE392" s="264">
        <f t="shared" si="214"/>
        <v>0</v>
      </c>
      <c r="AF392" s="264">
        <f t="shared" si="215"/>
        <v>0</v>
      </c>
      <c r="AG392" s="264">
        <f t="shared" si="216"/>
        <v>0</v>
      </c>
      <c r="AH392" s="264">
        <f t="shared" si="217"/>
        <v>0</v>
      </c>
      <c r="AI392" s="265">
        <f t="shared" si="221"/>
        <v>4.9997298538509337E-2</v>
      </c>
      <c r="AJ392" s="266">
        <f t="shared" si="219"/>
        <v>0.59996758246211201</v>
      </c>
      <c r="AK392" s="262"/>
      <c r="AN392" s="241">
        <v>0</v>
      </c>
      <c r="AO392" s="240">
        <f t="shared" si="222"/>
        <v>0</v>
      </c>
      <c r="AP392" s="241">
        <v>0</v>
      </c>
      <c r="AQ392" s="240">
        <f t="shared" si="223"/>
        <v>0</v>
      </c>
      <c r="AR392" s="241">
        <v>1</v>
      </c>
      <c r="AS392" s="240">
        <f t="shared" si="224"/>
        <v>4.9997298538509337E-2</v>
      </c>
      <c r="AT392" s="241">
        <v>0</v>
      </c>
      <c r="AU392" s="240">
        <f t="shared" si="225"/>
        <v>0</v>
      </c>
    </row>
    <row r="393" spans="2:47" s="274" customFormat="1" ht="15" x14ac:dyDescent="0.25">
      <c r="B393" s="241" t="str">
        <f t="shared" si="204"/>
        <v>VancRoll OffCTDEM30</v>
      </c>
      <c r="C393" s="232" t="s">
        <v>334</v>
      </c>
      <c r="D393" s="232" t="s">
        <v>379</v>
      </c>
      <c r="E393" s="238">
        <v>123.39</v>
      </c>
      <c r="F393" s="238">
        <v>123.39</v>
      </c>
      <c r="G393" s="238">
        <v>130</v>
      </c>
      <c r="I393" s="243">
        <v>0</v>
      </c>
      <c r="J393" s="243">
        <v>0</v>
      </c>
      <c r="K393" s="243">
        <v>0</v>
      </c>
      <c r="L393" s="243">
        <v>0</v>
      </c>
      <c r="M393" s="243">
        <v>0</v>
      </c>
      <c r="N393" s="243">
        <v>0</v>
      </c>
      <c r="O393" s="243">
        <v>0</v>
      </c>
      <c r="P393" s="243">
        <v>0</v>
      </c>
      <c r="Q393" s="243">
        <v>0</v>
      </c>
      <c r="R393" s="243">
        <v>21.67</v>
      </c>
      <c r="S393" s="243">
        <v>0</v>
      </c>
      <c r="T393" s="243">
        <v>0</v>
      </c>
      <c r="U393" s="263">
        <f t="shared" si="205"/>
        <v>21.67</v>
      </c>
      <c r="W393" s="264">
        <f t="shared" si="206"/>
        <v>0</v>
      </c>
      <c r="X393" s="264">
        <f t="shared" si="207"/>
        <v>0</v>
      </c>
      <c r="Y393" s="264">
        <f t="shared" si="208"/>
        <v>0</v>
      </c>
      <c r="Z393" s="264">
        <f t="shared" si="209"/>
        <v>0</v>
      </c>
      <c r="AA393" s="264">
        <f t="shared" si="210"/>
        <v>0</v>
      </c>
      <c r="AB393" s="264">
        <f t="shared" si="211"/>
        <v>0</v>
      </c>
      <c r="AC393" s="264">
        <f t="shared" si="212"/>
        <v>0</v>
      </c>
      <c r="AD393" s="264">
        <f t="shared" si="213"/>
        <v>0</v>
      </c>
      <c r="AE393" s="264">
        <f t="shared" si="214"/>
        <v>0</v>
      </c>
      <c r="AF393" s="264">
        <f t="shared" si="215"/>
        <v>0.1666923076923077</v>
      </c>
      <c r="AG393" s="264">
        <f t="shared" si="216"/>
        <v>0</v>
      </c>
      <c r="AH393" s="264">
        <f t="shared" si="217"/>
        <v>0</v>
      </c>
      <c r="AI393" s="265">
        <f t="shared" si="221"/>
        <v>1.3891025641025642E-2</v>
      </c>
      <c r="AJ393" s="266">
        <f t="shared" si="219"/>
        <v>0.1666923076923077</v>
      </c>
      <c r="AK393" s="262"/>
      <c r="AN393" s="241">
        <v>0</v>
      </c>
      <c r="AO393" s="240">
        <f t="shared" si="222"/>
        <v>0</v>
      </c>
      <c r="AP393" s="241">
        <v>0</v>
      </c>
      <c r="AQ393" s="240">
        <f t="shared" si="223"/>
        <v>0</v>
      </c>
      <c r="AR393" s="241">
        <v>1</v>
      </c>
      <c r="AS393" s="240">
        <f t="shared" si="224"/>
        <v>1.3891025641025642E-2</v>
      </c>
      <c r="AT393" s="241">
        <v>0</v>
      </c>
      <c r="AU393" s="240">
        <f t="shared" si="225"/>
        <v>0</v>
      </c>
    </row>
    <row r="394" spans="2:47" s="274" customFormat="1" ht="15" x14ac:dyDescent="0.25">
      <c r="B394" s="241" t="str">
        <f>"Vanc"&amp;"Roll Off"&amp;C394</f>
        <v>VancRoll OffCTDEM40</v>
      </c>
      <c r="C394" s="232" t="s">
        <v>335</v>
      </c>
      <c r="D394" s="232" t="s">
        <v>380</v>
      </c>
      <c r="E394" s="238">
        <v>123.39</v>
      </c>
      <c r="F394" s="238">
        <v>123.39</v>
      </c>
      <c r="G394" s="238">
        <v>130</v>
      </c>
      <c r="I394" s="243">
        <v>0</v>
      </c>
      <c r="J394" s="243">
        <v>0</v>
      </c>
      <c r="K394" s="243">
        <v>0</v>
      </c>
      <c r="L394" s="243">
        <v>0</v>
      </c>
      <c r="M394" s="243">
        <v>0</v>
      </c>
      <c r="N394" s="243">
        <v>8.23</v>
      </c>
      <c r="O394" s="243">
        <v>0</v>
      </c>
      <c r="P394" s="243">
        <v>0</v>
      </c>
      <c r="Q394" s="243">
        <v>0</v>
      </c>
      <c r="R394" s="243">
        <v>0</v>
      </c>
      <c r="S394" s="243">
        <v>0</v>
      </c>
      <c r="T394" s="243">
        <v>8.67</v>
      </c>
      <c r="U394" s="263">
        <f t="shared" si="205"/>
        <v>16.899999999999999</v>
      </c>
      <c r="W394" s="264">
        <f t="shared" si="206"/>
        <v>0</v>
      </c>
      <c r="X394" s="264">
        <f t="shared" si="207"/>
        <v>0</v>
      </c>
      <c r="Y394" s="264">
        <f t="shared" si="208"/>
        <v>0</v>
      </c>
      <c r="Z394" s="264">
        <f t="shared" si="209"/>
        <v>0</v>
      </c>
      <c r="AA394" s="264">
        <f t="shared" si="210"/>
        <v>0</v>
      </c>
      <c r="AB394" s="264">
        <f t="shared" si="211"/>
        <v>6.6699084204554671E-2</v>
      </c>
      <c r="AC394" s="264">
        <f t="shared" si="212"/>
        <v>0</v>
      </c>
      <c r="AD394" s="264">
        <f t="shared" si="213"/>
        <v>0</v>
      </c>
      <c r="AE394" s="264">
        <f t="shared" si="214"/>
        <v>0</v>
      </c>
      <c r="AF394" s="264">
        <f t="shared" si="215"/>
        <v>0</v>
      </c>
      <c r="AG394" s="264">
        <f t="shared" si="216"/>
        <v>0</v>
      </c>
      <c r="AH394" s="264">
        <f t="shared" si="217"/>
        <v>6.669230769230769E-2</v>
      </c>
      <c r="AI394" s="265">
        <f t="shared" ref="AI394:AI416" si="226">+IFERROR(AVERAGE(W394:AH394),0)</f>
        <v>1.1115949324738529E-2</v>
      </c>
      <c r="AJ394" s="266">
        <f t="shared" si="219"/>
        <v>0.13339139189686236</v>
      </c>
      <c r="AK394" s="262"/>
      <c r="AN394" s="241">
        <v>0</v>
      </c>
      <c r="AO394" s="240">
        <f t="shared" si="222"/>
        <v>0</v>
      </c>
      <c r="AP394" s="241">
        <v>0</v>
      </c>
      <c r="AQ394" s="240">
        <f t="shared" si="223"/>
        <v>0</v>
      </c>
      <c r="AR394" s="241">
        <v>1</v>
      </c>
      <c r="AS394" s="240">
        <f t="shared" si="224"/>
        <v>1.1115949324738529E-2</v>
      </c>
      <c r="AT394" s="241">
        <v>0</v>
      </c>
      <c r="AU394" s="240">
        <f t="shared" si="225"/>
        <v>0</v>
      </c>
    </row>
    <row r="395" spans="2:47" ht="15" x14ac:dyDescent="0.25">
      <c r="B395" s="1" t="str">
        <f t="shared" si="204"/>
        <v>VancRoll OffCPLACE</v>
      </c>
      <c r="C395" s="58" t="s">
        <v>337</v>
      </c>
      <c r="D395" s="58" t="s">
        <v>382</v>
      </c>
      <c r="E395" s="11">
        <v>43.82</v>
      </c>
      <c r="F395" s="11">
        <v>43.82</v>
      </c>
      <c r="G395" s="11">
        <v>46.17</v>
      </c>
      <c r="I395" s="14">
        <v>0</v>
      </c>
      <c r="J395" s="14">
        <v>0</v>
      </c>
      <c r="K395" s="14">
        <v>0</v>
      </c>
      <c r="L395" s="14">
        <v>0</v>
      </c>
      <c r="M395" s="14">
        <v>43.82</v>
      </c>
      <c r="N395" s="14">
        <v>0</v>
      </c>
      <c r="O395" s="14">
        <v>43.82</v>
      </c>
      <c r="P395" s="14">
        <v>43.82</v>
      </c>
      <c r="Q395" s="14">
        <v>0</v>
      </c>
      <c r="R395" s="14">
        <v>46.17</v>
      </c>
      <c r="S395" s="14">
        <v>-46.17</v>
      </c>
      <c r="T395" s="14">
        <v>46.17</v>
      </c>
      <c r="U395" s="73">
        <f t="shared" si="205"/>
        <v>177.63</v>
      </c>
      <c r="W395" s="49">
        <f t="shared" si="206"/>
        <v>0</v>
      </c>
      <c r="X395" s="49">
        <f t="shared" si="207"/>
        <v>0</v>
      </c>
      <c r="Y395" s="49">
        <f t="shared" si="208"/>
        <v>0</v>
      </c>
      <c r="Z395" s="49">
        <f t="shared" si="209"/>
        <v>0</v>
      </c>
      <c r="AA395" s="49">
        <f t="shared" si="210"/>
        <v>1</v>
      </c>
      <c r="AB395" s="49">
        <f t="shared" si="211"/>
        <v>0</v>
      </c>
      <c r="AC395" s="49">
        <f t="shared" si="212"/>
        <v>1</v>
      </c>
      <c r="AD395" s="49">
        <f t="shared" si="213"/>
        <v>1</v>
      </c>
      <c r="AE395" s="49">
        <f t="shared" si="214"/>
        <v>0</v>
      </c>
      <c r="AF395" s="49">
        <f t="shared" si="215"/>
        <v>1</v>
      </c>
      <c r="AG395" s="49">
        <f t="shared" si="216"/>
        <v>-1</v>
      </c>
      <c r="AH395" s="49">
        <f t="shared" si="217"/>
        <v>1</v>
      </c>
      <c r="AI395" s="47">
        <f t="shared" si="226"/>
        <v>0.33333333333333331</v>
      </c>
      <c r="AJ395" s="134">
        <f t="shared" ref="AJ395:AJ416" si="227">SUM(W395:AH395)</f>
        <v>4</v>
      </c>
      <c r="AK395"/>
    </row>
    <row r="396" spans="2:47" ht="15" x14ac:dyDescent="0.25">
      <c r="B396" s="1" t="str">
        <f t="shared" si="204"/>
        <v>VancRoll OffVPLACE</v>
      </c>
      <c r="C396" s="58" t="s">
        <v>909</v>
      </c>
      <c r="D396" s="58" t="s">
        <v>382</v>
      </c>
      <c r="E396" s="11">
        <v>43.82</v>
      </c>
      <c r="F396" s="11">
        <v>43.82</v>
      </c>
      <c r="G396" s="11">
        <v>46.17</v>
      </c>
      <c r="I396" s="14">
        <v>3987.62</v>
      </c>
      <c r="J396" s="14">
        <v>6353.9</v>
      </c>
      <c r="K396" s="14">
        <v>6704.46</v>
      </c>
      <c r="L396" s="14">
        <v>4776.38</v>
      </c>
      <c r="M396" s="14">
        <v>6003.34</v>
      </c>
      <c r="N396" s="14">
        <v>5039.3</v>
      </c>
      <c r="O396" s="14">
        <v>4469.6400000000003</v>
      </c>
      <c r="P396" s="14">
        <v>3680.88</v>
      </c>
      <c r="Q396" s="14">
        <v>2804.48</v>
      </c>
      <c r="R396" s="14">
        <v>3310.14</v>
      </c>
      <c r="S396" s="14">
        <v>4894.0200000000004</v>
      </c>
      <c r="T396" s="14">
        <v>3878.28</v>
      </c>
      <c r="U396" s="73">
        <f t="shared" si="205"/>
        <v>55902.44</v>
      </c>
      <c r="W396" s="49">
        <f t="shared" si="206"/>
        <v>91</v>
      </c>
      <c r="X396" s="49">
        <f t="shared" si="207"/>
        <v>145</v>
      </c>
      <c r="Y396" s="49">
        <f t="shared" si="208"/>
        <v>153</v>
      </c>
      <c r="Z396" s="49">
        <f t="shared" si="209"/>
        <v>109</v>
      </c>
      <c r="AA396" s="49">
        <f t="shared" si="210"/>
        <v>137</v>
      </c>
      <c r="AB396" s="49">
        <f t="shared" si="211"/>
        <v>115</v>
      </c>
      <c r="AC396" s="49">
        <f t="shared" si="212"/>
        <v>102</v>
      </c>
      <c r="AD396" s="49">
        <f t="shared" si="213"/>
        <v>84</v>
      </c>
      <c r="AE396" s="49">
        <f t="shared" si="214"/>
        <v>64</v>
      </c>
      <c r="AF396" s="49">
        <f t="shared" si="215"/>
        <v>71.694606887589345</v>
      </c>
      <c r="AG396" s="49">
        <f t="shared" si="216"/>
        <v>106</v>
      </c>
      <c r="AH396" s="49">
        <f t="shared" si="217"/>
        <v>84</v>
      </c>
      <c r="AI396" s="47">
        <f t="shared" si="226"/>
        <v>105.14121724063244</v>
      </c>
      <c r="AJ396" s="134">
        <f t="shared" si="227"/>
        <v>1261.6946068875893</v>
      </c>
      <c r="AK396"/>
    </row>
    <row r="397" spans="2:47" ht="15" x14ac:dyDescent="0.25">
      <c r="B397" s="1" t="str">
        <f>"Vanc"&amp;"Roll Off"&amp;C397</f>
        <v>VancRoll OffCTRV20YD</v>
      </c>
      <c r="C397" s="58" t="s">
        <v>319</v>
      </c>
      <c r="D397" s="58" t="s">
        <v>364</v>
      </c>
      <c r="E397" s="11">
        <v>171.88</v>
      </c>
      <c r="F397" s="11">
        <v>171.88</v>
      </c>
      <c r="G397" s="11">
        <v>181.09</v>
      </c>
      <c r="I397" s="14">
        <v>0</v>
      </c>
      <c r="J397" s="14">
        <v>0</v>
      </c>
      <c r="K397" s="14">
        <v>0</v>
      </c>
      <c r="L397" s="14">
        <v>0</v>
      </c>
      <c r="M397" s="14">
        <v>0</v>
      </c>
      <c r="N397" s="14">
        <v>0</v>
      </c>
      <c r="O397" s="14">
        <v>0</v>
      </c>
      <c r="P397" s="14">
        <v>0</v>
      </c>
      <c r="Q397" s="14">
        <v>0</v>
      </c>
      <c r="R397" s="14">
        <v>0</v>
      </c>
      <c r="S397" s="14">
        <v>0</v>
      </c>
      <c r="T397" s="14">
        <v>0</v>
      </c>
      <c r="U397" s="73">
        <f t="shared" si="205"/>
        <v>0</v>
      </c>
      <c r="W397" s="49">
        <f t="shared" si="206"/>
        <v>0</v>
      </c>
      <c r="X397" s="49">
        <f t="shared" si="207"/>
        <v>0</v>
      </c>
      <c r="Y397" s="49">
        <f t="shared" si="208"/>
        <v>0</v>
      </c>
      <c r="Z397" s="49">
        <f t="shared" si="209"/>
        <v>0</v>
      </c>
      <c r="AA397" s="49">
        <f t="shared" si="210"/>
        <v>0</v>
      </c>
      <c r="AB397" s="49">
        <f t="shared" si="211"/>
        <v>0</v>
      </c>
      <c r="AC397" s="49">
        <f t="shared" si="212"/>
        <v>0</v>
      </c>
      <c r="AD397" s="49">
        <f t="shared" si="213"/>
        <v>0</v>
      </c>
      <c r="AE397" s="49">
        <f t="shared" si="214"/>
        <v>0</v>
      </c>
      <c r="AF397" s="49">
        <f t="shared" si="215"/>
        <v>0</v>
      </c>
      <c r="AG397" s="49">
        <f t="shared" si="216"/>
        <v>0</v>
      </c>
      <c r="AH397" s="49">
        <f t="shared" si="217"/>
        <v>0</v>
      </c>
      <c r="AI397" s="47">
        <f t="shared" si="226"/>
        <v>0</v>
      </c>
      <c r="AJ397" s="134">
        <f t="shared" si="227"/>
        <v>0</v>
      </c>
      <c r="AK397"/>
    </row>
    <row r="398" spans="2:47" ht="15" x14ac:dyDescent="0.25">
      <c r="B398" s="1" t="str">
        <f>"Vanc"&amp;"Roll Off"&amp;C398</f>
        <v>VancRoll OffCTRV30YD</v>
      </c>
      <c r="C398" s="58" t="s">
        <v>320</v>
      </c>
      <c r="D398" s="58" t="s">
        <v>365</v>
      </c>
      <c r="E398" s="11">
        <v>171.88</v>
      </c>
      <c r="F398" s="11">
        <v>171.88</v>
      </c>
      <c r="G398" s="11">
        <v>181.09</v>
      </c>
      <c r="I398" s="14">
        <v>0</v>
      </c>
      <c r="J398" s="14">
        <v>343.76</v>
      </c>
      <c r="K398" s="14">
        <v>0</v>
      </c>
      <c r="L398" s="14">
        <v>0</v>
      </c>
      <c r="M398" s="14">
        <v>0</v>
      </c>
      <c r="N398" s="14">
        <v>0</v>
      </c>
      <c r="O398" s="14">
        <v>0</v>
      </c>
      <c r="P398" s="14">
        <v>0</v>
      </c>
      <c r="Q398" s="14">
        <v>0</v>
      </c>
      <c r="R398" s="14">
        <v>0</v>
      </c>
      <c r="S398" s="14">
        <v>0</v>
      </c>
      <c r="T398" s="14">
        <v>0</v>
      </c>
      <c r="U398" s="73">
        <f t="shared" si="205"/>
        <v>343.76</v>
      </c>
      <c r="W398" s="49">
        <f t="shared" si="206"/>
        <v>0</v>
      </c>
      <c r="X398" s="49">
        <f t="shared" si="207"/>
        <v>2</v>
      </c>
      <c r="Y398" s="49">
        <f t="shared" si="208"/>
        <v>0</v>
      </c>
      <c r="Z398" s="49">
        <f t="shared" si="209"/>
        <v>0</v>
      </c>
      <c r="AA398" s="49">
        <f t="shared" si="210"/>
        <v>0</v>
      </c>
      <c r="AB398" s="49">
        <f t="shared" si="211"/>
        <v>0</v>
      </c>
      <c r="AC398" s="49">
        <f t="shared" si="212"/>
        <v>0</v>
      </c>
      <c r="AD398" s="49">
        <f t="shared" si="213"/>
        <v>0</v>
      </c>
      <c r="AE398" s="49">
        <f t="shared" si="214"/>
        <v>0</v>
      </c>
      <c r="AF398" s="49">
        <f t="shared" si="215"/>
        <v>0</v>
      </c>
      <c r="AG398" s="49">
        <f t="shared" si="216"/>
        <v>0</v>
      </c>
      <c r="AH398" s="49">
        <f t="shared" si="217"/>
        <v>0</v>
      </c>
      <c r="AI398" s="47">
        <f t="shared" si="226"/>
        <v>0.16666666666666666</v>
      </c>
      <c r="AJ398" s="134">
        <f t="shared" si="227"/>
        <v>2</v>
      </c>
      <c r="AK398"/>
    </row>
    <row r="399" spans="2:47" ht="15" x14ac:dyDescent="0.25">
      <c r="B399" s="1" t="str">
        <f>"Vanc"&amp;"Roll Off"&amp;C399</f>
        <v>VancRoll OffCTRV40YD</v>
      </c>
      <c r="C399" s="58" t="s">
        <v>321</v>
      </c>
      <c r="D399" s="58" t="s">
        <v>366</v>
      </c>
      <c r="E399" s="11">
        <v>171.88</v>
      </c>
      <c r="F399" s="11">
        <v>171.88</v>
      </c>
      <c r="G399" s="11">
        <v>181.09</v>
      </c>
      <c r="I399" s="14">
        <v>0</v>
      </c>
      <c r="J399" s="14">
        <v>0</v>
      </c>
      <c r="K399" s="14">
        <v>171.88</v>
      </c>
      <c r="L399" s="14">
        <v>0</v>
      </c>
      <c r="M399" s="14">
        <v>0</v>
      </c>
      <c r="N399" s="14">
        <v>0</v>
      </c>
      <c r="O399" s="14">
        <v>0</v>
      </c>
      <c r="P399" s="14">
        <v>0</v>
      </c>
      <c r="Q399" s="14">
        <v>171.88</v>
      </c>
      <c r="R399" s="14">
        <v>0</v>
      </c>
      <c r="S399" s="14">
        <v>0</v>
      </c>
      <c r="T399" s="14">
        <v>0</v>
      </c>
      <c r="U399" s="73">
        <f t="shared" si="205"/>
        <v>343.76</v>
      </c>
      <c r="W399" s="49">
        <f t="shared" si="206"/>
        <v>0</v>
      </c>
      <c r="X399" s="49">
        <f t="shared" si="207"/>
        <v>0</v>
      </c>
      <c r="Y399" s="49">
        <f t="shared" si="208"/>
        <v>1</v>
      </c>
      <c r="Z399" s="49">
        <f t="shared" si="209"/>
        <v>0</v>
      </c>
      <c r="AA399" s="49">
        <f t="shared" si="210"/>
        <v>0</v>
      </c>
      <c r="AB399" s="49">
        <f t="shared" si="211"/>
        <v>0</v>
      </c>
      <c r="AC399" s="49">
        <f t="shared" si="212"/>
        <v>0</v>
      </c>
      <c r="AD399" s="49">
        <f t="shared" si="213"/>
        <v>0</v>
      </c>
      <c r="AE399" s="49">
        <f t="shared" si="214"/>
        <v>1</v>
      </c>
      <c r="AF399" s="49">
        <f t="shared" si="215"/>
        <v>0</v>
      </c>
      <c r="AG399" s="49">
        <f t="shared" si="216"/>
        <v>0</v>
      </c>
      <c r="AH399" s="49">
        <f t="shared" si="217"/>
        <v>0</v>
      </c>
      <c r="AI399" s="47">
        <f t="shared" si="226"/>
        <v>0.16666666666666666</v>
      </c>
      <c r="AJ399" s="134">
        <f t="shared" si="227"/>
        <v>2</v>
      </c>
      <c r="AK399"/>
    </row>
    <row r="400" spans="2:47" ht="15" x14ac:dyDescent="0.25">
      <c r="B400" s="1" t="str">
        <f t="shared" si="204"/>
        <v>VancRoll OffCLIDCHG</v>
      </c>
      <c r="C400" s="58" t="s">
        <v>338</v>
      </c>
      <c r="D400" s="58" t="s">
        <v>383</v>
      </c>
      <c r="E400" s="11">
        <v>53.65</v>
      </c>
      <c r="F400" s="11">
        <v>53.65</v>
      </c>
      <c r="G400" s="11">
        <v>56.52</v>
      </c>
      <c r="I400" s="14">
        <v>0</v>
      </c>
      <c r="J400" s="14">
        <v>115.64</v>
      </c>
      <c r="K400" s="14">
        <v>0</v>
      </c>
      <c r="L400" s="14">
        <v>0</v>
      </c>
      <c r="M400" s="14">
        <v>0</v>
      </c>
      <c r="N400" s="14">
        <v>0</v>
      </c>
      <c r="O400" s="14">
        <v>0</v>
      </c>
      <c r="P400" s="14">
        <v>0</v>
      </c>
      <c r="Q400" s="14">
        <v>0</v>
      </c>
      <c r="R400" s="14">
        <v>0</v>
      </c>
      <c r="S400" s="14">
        <v>0</v>
      </c>
      <c r="T400" s="14">
        <v>0</v>
      </c>
      <c r="U400" s="73">
        <f t="shared" si="205"/>
        <v>115.64</v>
      </c>
      <c r="W400" s="49">
        <f t="shared" si="206"/>
        <v>0</v>
      </c>
      <c r="X400" s="49">
        <f t="shared" si="207"/>
        <v>2.1554520037278659</v>
      </c>
      <c r="Y400" s="49">
        <f t="shared" si="208"/>
        <v>0</v>
      </c>
      <c r="Z400" s="49">
        <f t="shared" si="209"/>
        <v>0</v>
      </c>
      <c r="AA400" s="49">
        <f t="shared" si="210"/>
        <v>0</v>
      </c>
      <c r="AB400" s="49">
        <f t="shared" si="211"/>
        <v>0</v>
      </c>
      <c r="AC400" s="49">
        <f t="shared" si="212"/>
        <v>0</v>
      </c>
      <c r="AD400" s="49">
        <f t="shared" si="213"/>
        <v>0</v>
      </c>
      <c r="AE400" s="49">
        <f t="shared" si="214"/>
        <v>0</v>
      </c>
      <c r="AF400" s="49">
        <f t="shared" si="215"/>
        <v>0</v>
      </c>
      <c r="AG400" s="49">
        <f t="shared" si="216"/>
        <v>0</v>
      </c>
      <c r="AH400" s="49">
        <f t="shared" si="217"/>
        <v>0</v>
      </c>
      <c r="AI400" s="47">
        <f t="shared" si="226"/>
        <v>0.1796210003106555</v>
      </c>
      <c r="AJ400" s="134">
        <f t="shared" si="227"/>
        <v>2.1554520037278659</v>
      </c>
      <c r="AK400"/>
    </row>
    <row r="401" spans="2:37" ht="15" x14ac:dyDescent="0.25">
      <c r="B401" s="1" t="str">
        <f t="shared" si="204"/>
        <v>VancRoll OffVLIDCHG</v>
      </c>
      <c r="C401" s="58" t="s">
        <v>910</v>
      </c>
      <c r="D401" s="58" t="s">
        <v>383</v>
      </c>
      <c r="E401" s="11">
        <v>53.65</v>
      </c>
      <c r="F401" s="11">
        <v>53.65</v>
      </c>
      <c r="G401" s="11">
        <v>56.52</v>
      </c>
      <c r="I401" s="14">
        <v>5200.3900000000003</v>
      </c>
      <c r="J401" s="14">
        <v>4937.0999999999995</v>
      </c>
      <c r="K401" s="14">
        <v>5091.3499999999995</v>
      </c>
      <c r="L401" s="14">
        <v>5318.41</v>
      </c>
      <c r="M401" s="14">
        <v>5534.61</v>
      </c>
      <c r="N401" s="14">
        <v>5539.9299999999994</v>
      </c>
      <c r="O401" s="14">
        <v>5713.73</v>
      </c>
      <c r="P401" s="14">
        <v>5722.71</v>
      </c>
      <c r="Q401" s="14">
        <v>5611.78</v>
      </c>
      <c r="R401" s="14">
        <v>6328.47</v>
      </c>
      <c r="S401" s="14">
        <v>6121.1</v>
      </c>
      <c r="T401" s="14">
        <v>5757.59</v>
      </c>
      <c r="U401" s="73">
        <f t="shared" si="205"/>
        <v>66877.17</v>
      </c>
      <c r="W401" s="49">
        <f t="shared" si="206"/>
        <v>96.931780055917997</v>
      </c>
      <c r="X401" s="49">
        <f t="shared" si="207"/>
        <v>92.0242311276794</v>
      </c>
      <c r="Y401" s="49">
        <f t="shared" si="208"/>
        <v>94.899347623485554</v>
      </c>
      <c r="Z401" s="49">
        <f t="shared" si="209"/>
        <v>99.131593662628148</v>
      </c>
      <c r="AA401" s="49">
        <f t="shared" si="210"/>
        <v>103.1614165890028</v>
      </c>
      <c r="AB401" s="49">
        <f t="shared" si="211"/>
        <v>103.2605778191985</v>
      </c>
      <c r="AC401" s="49">
        <f t="shared" si="212"/>
        <v>106.50009319664491</v>
      </c>
      <c r="AD401" s="49">
        <f t="shared" si="213"/>
        <v>106.66747437092265</v>
      </c>
      <c r="AE401" s="49">
        <f t="shared" si="214"/>
        <v>104.59981360671016</v>
      </c>
      <c r="AF401" s="49">
        <f t="shared" si="215"/>
        <v>111.96868365180467</v>
      </c>
      <c r="AG401" s="49">
        <f t="shared" si="216"/>
        <v>108.2997169143666</v>
      </c>
      <c r="AH401" s="49">
        <f t="shared" si="217"/>
        <v>101.86818825194621</v>
      </c>
      <c r="AI401" s="47">
        <f t="shared" si="226"/>
        <v>102.44274307252563</v>
      </c>
      <c r="AJ401" s="134">
        <f t="shared" si="227"/>
        <v>1229.3129168703076</v>
      </c>
      <c r="AK401"/>
    </row>
    <row r="402" spans="2:37" ht="15" x14ac:dyDescent="0.25">
      <c r="B402" s="1" t="str">
        <f t="shared" si="204"/>
        <v>VancRoll OffMILE</v>
      </c>
      <c r="C402" s="58" t="s">
        <v>340</v>
      </c>
      <c r="D402" s="58" t="s">
        <v>385</v>
      </c>
      <c r="E402" s="11">
        <v>3.8</v>
      </c>
      <c r="F402" s="11">
        <v>3.8</v>
      </c>
      <c r="G402" s="11">
        <v>4</v>
      </c>
      <c r="I402" s="14">
        <v>0</v>
      </c>
      <c r="J402" s="14">
        <v>129.19999999999999</v>
      </c>
      <c r="K402" s="14">
        <v>69.92</v>
      </c>
      <c r="L402" s="14">
        <v>0</v>
      </c>
      <c r="M402" s="14">
        <v>240.16</v>
      </c>
      <c r="N402" s="14">
        <v>0</v>
      </c>
      <c r="O402" s="14">
        <v>252.32</v>
      </c>
      <c r="P402" s="14">
        <v>348.08</v>
      </c>
      <c r="Q402" s="14">
        <v>152</v>
      </c>
      <c r="R402" s="14">
        <v>256.8</v>
      </c>
      <c r="S402" s="14">
        <v>513.6</v>
      </c>
      <c r="T402" s="14">
        <v>137.6</v>
      </c>
      <c r="U402" s="73">
        <f t="shared" si="205"/>
        <v>2099.6799999999998</v>
      </c>
      <c r="W402" s="49">
        <f t="shared" si="206"/>
        <v>0</v>
      </c>
      <c r="X402" s="49">
        <f t="shared" si="207"/>
        <v>34</v>
      </c>
      <c r="Y402" s="49">
        <f t="shared" si="208"/>
        <v>18.400000000000002</v>
      </c>
      <c r="Z402" s="49">
        <f t="shared" si="209"/>
        <v>0</v>
      </c>
      <c r="AA402" s="49">
        <f t="shared" si="210"/>
        <v>63.2</v>
      </c>
      <c r="AB402" s="49">
        <f t="shared" si="211"/>
        <v>0</v>
      </c>
      <c r="AC402" s="49">
        <f t="shared" si="212"/>
        <v>66.400000000000006</v>
      </c>
      <c r="AD402" s="49">
        <f t="shared" si="213"/>
        <v>91.6</v>
      </c>
      <c r="AE402" s="49">
        <f t="shared" si="214"/>
        <v>40</v>
      </c>
      <c r="AF402" s="49">
        <f t="shared" si="215"/>
        <v>64.2</v>
      </c>
      <c r="AG402" s="49">
        <f t="shared" si="216"/>
        <v>128.4</v>
      </c>
      <c r="AH402" s="49">
        <f t="shared" si="217"/>
        <v>34.4</v>
      </c>
      <c r="AI402" s="47">
        <f t="shared" si="226"/>
        <v>45.050000000000004</v>
      </c>
      <c r="AJ402" s="134">
        <f t="shared" si="227"/>
        <v>540.6</v>
      </c>
      <c r="AK402"/>
    </row>
    <row r="403" spans="2:37" ht="15" x14ac:dyDescent="0.25">
      <c r="B403" s="1" t="str">
        <f>"Vanc"&amp;"Roll Off"&amp;C403</f>
        <v>VancRoll OffLINER-RO</v>
      </c>
      <c r="C403" s="58" t="s">
        <v>1123</v>
      </c>
      <c r="D403" s="58" t="s">
        <v>1124</v>
      </c>
      <c r="E403" s="11">
        <v>63.38</v>
      </c>
      <c r="F403" s="11">
        <v>63.38</v>
      </c>
      <c r="G403" s="11">
        <v>66.77</v>
      </c>
      <c r="I403" s="14">
        <v>1774.64</v>
      </c>
      <c r="J403" s="14">
        <v>1901.4</v>
      </c>
      <c r="K403" s="14">
        <v>1838.02</v>
      </c>
      <c r="L403" s="14">
        <v>1901.4</v>
      </c>
      <c r="M403" s="14">
        <v>1774.64</v>
      </c>
      <c r="N403" s="14">
        <v>2218.3000000000002</v>
      </c>
      <c r="O403" s="14">
        <v>1838.02</v>
      </c>
      <c r="P403" s="14">
        <v>1584.5</v>
      </c>
      <c r="Q403" s="14">
        <v>1711.26</v>
      </c>
      <c r="R403" s="14">
        <v>1729.14</v>
      </c>
      <c r="S403" s="14">
        <v>1669.25</v>
      </c>
      <c r="T403" s="14">
        <v>1669.25</v>
      </c>
      <c r="U403" s="73">
        <f t="shared" si="205"/>
        <v>21609.819999999996</v>
      </c>
      <c r="W403" s="49">
        <f t="shared" si="206"/>
        <v>28</v>
      </c>
      <c r="X403" s="49">
        <f t="shared" si="207"/>
        <v>30</v>
      </c>
      <c r="Y403" s="49">
        <f t="shared" si="208"/>
        <v>29</v>
      </c>
      <c r="Z403" s="49">
        <f t="shared" si="209"/>
        <v>30</v>
      </c>
      <c r="AA403" s="49">
        <f t="shared" si="210"/>
        <v>28</v>
      </c>
      <c r="AB403" s="49">
        <f t="shared" si="211"/>
        <v>35</v>
      </c>
      <c r="AC403" s="49">
        <f t="shared" si="212"/>
        <v>29</v>
      </c>
      <c r="AD403" s="49">
        <f t="shared" si="213"/>
        <v>25</v>
      </c>
      <c r="AE403" s="49">
        <f t="shared" si="214"/>
        <v>27</v>
      </c>
      <c r="AF403" s="49">
        <f t="shared" si="215"/>
        <v>25.896959712445714</v>
      </c>
      <c r="AG403" s="49">
        <f t="shared" si="216"/>
        <v>25</v>
      </c>
      <c r="AH403" s="49">
        <f t="shared" si="217"/>
        <v>25</v>
      </c>
      <c r="AI403" s="47">
        <f t="shared" si="226"/>
        <v>28.074746642703811</v>
      </c>
      <c r="AJ403" s="134">
        <f t="shared" si="227"/>
        <v>336.89695971244572</v>
      </c>
      <c r="AK403"/>
    </row>
    <row r="404" spans="2:37" ht="15" x14ac:dyDescent="0.25">
      <c r="B404" s="1" t="str">
        <f>"Vanc"&amp;"Roll Off"&amp;C404</f>
        <v>VancRoll OffSTANDBY</v>
      </c>
      <c r="C404" s="58" t="s">
        <v>1030</v>
      </c>
      <c r="D404" s="58" t="s">
        <v>1031</v>
      </c>
      <c r="E404" s="11">
        <v>124.8</v>
      </c>
      <c r="F404" s="11">
        <v>124.8</v>
      </c>
      <c r="G404" s="11">
        <v>131.4</v>
      </c>
      <c r="I404" s="14">
        <v>0</v>
      </c>
      <c r="J404" s="14">
        <v>0</v>
      </c>
      <c r="K404" s="14">
        <v>0</v>
      </c>
      <c r="L404" s="14">
        <v>0</v>
      </c>
      <c r="M404" s="14">
        <v>0</v>
      </c>
      <c r="N404" s="14">
        <v>0</v>
      </c>
      <c r="O404" s="14">
        <v>0</v>
      </c>
      <c r="P404" s="14">
        <v>0</v>
      </c>
      <c r="Q404" s="14">
        <v>0</v>
      </c>
      <c r="R404" s="14">
        <v>0</v>
      </c>
      <c r="S404" s="14">
        <v>0</v>
      </c>
      <c r="T404" s="14">
        <v>0</v>
      </c>
      <c r="U404" s="73">
        <f t="shared" si="205"/>
        <v>0</v>
      </c>
      <c r="W404" s="49">
        <f t="shared" si="206"/>
        <v>0</v>
      </c>
      <c r="X404" s="49">
        <f t="shared" si="207"/>
        <v>0</v>
      </c>
      <c r="Y404" s="49">
        <f t="shared" si="208"/>
        <v>0</v>
      </c>
      <c r="Z404" s="49">
        <f t="shared" si="209"/>
        <v>0</v>
      </c>
      <c r="AA404" s="49">
        <f t="shared" si="210"/>
        <v>0</v>
      </c>
      <c r="AB404" s="49">
        <f t="shared" si="211"/>
        <v>0</v>
      </c>
      <c r="AC404" s="49">
        <f t="shared" si="212"/>
        <v>0</v>
      </c>
      <c r="AD404" s="49">
        <f t="shared" si="213"/>
        <v>0</v>
      </c>
      <c r="AE404" s="49">
        <f t="shared" si="214"/>
        <v>0</v>
      </c>
      <c r="AF404" s="49">
        <f t="shared" si="215"/>
        <v>0</v>
      </c>
      <c r="AG404" s="49">
        <f t="shared" si="216"/>
        <v>0</v>
      </c>
      <c r="AH404" s="49">
        <f t="shared" si="217"/>
        <v>0</v>
      </c>
      <c r="AI404" s="47">
        <f t="shared" si="226"/>
        <v>0</v>
      </c>
      <c r="AJ404" s="134">
        <f t="shared" si="227"/>
        <v>0</v>
      </c>
      <c r="AK404"/>
    </row>
    <row r="405" spans="2:37" ht="15" x14ac:dyDescent="0.25">
      <c r="B405" s="1" t="str">
        <f>"Vanc"&amp;"Roll Off"&amp;C405</f>
        <v>VancRoll OffDBACC</v>
      </c>
      <c r="C405" s="58" t="s">
        <v>1138</v>
      </c>
      <c r="D405" s="58" t="s">
        <v>1139</v>
      </c>
      <c r="E405" s="11">
        <v>3.09</v>
      </c>
      <c r="F405" s="11">
        <v>3.09</v>
      </c>
      <c r="G405" s="11">
        <v>3.26</v>
      </c>
      <c r="I405" s="14">
        <v>0</v>
      </c>
      <c r="J405" s="14">
        <v>0</v>
      </c>
      <c r="K405" s="14">
        <v>9.27</v>
      </c>
      <c r="L405" s="14">
        <v>3.09</v>
      </c>
      <c r="M405" s="14">
        <v>30.66</v>
      </c>
      <c r="N405" s="14">
        <v>29.369999999999997</v>
      </c>
      <c r="O405" s="14">
        <v>41.220000000000006</v>
      </c>
      <c r="P405" s="14">
        <v>71.88</v>
      </c>
      <c r="Q405" s="14">
        <v>22.41</v>
      </c>
      <c r="R405" s="14">
        <v>69.61</v>
      </c>
      <c r="S405" s="14">
        <v>37.08</v>
      </c>
      <c r="T405" s="14">
        <v>26.08</v>
      </c>
      <c r="U405" s="73">
        <f t="shared" si="205"/>
        <v>340.66999999999996</v>
      </c>
      <c r="W405" s="49">
        <f t="shared" si="206"/>
        <v>0</v>
      </c>
      <c r="X405" s="49">
        <f t="shared" si="207"/>
        <v>0</v>
      </c>
      <c r="Y405" s="49">
        <f t="shared" si="208"/>
        <v>3</v>
      </c>
      <c r="Z405" s="49">
        <f t="shared" si="209"/>
        <v>1</v>
      </c>
      <c r="AA405" s="49">
        <f t="shared" si="210"/>
        <v>9.9223300970873787</v>
      </c>
      <c r="AB405" s="49">
        <f t="shared" si="211"/>
        <v>9.5048543689320386</v>
      </c>
      <c r="AC405" s="49">
        <f t="shared" si="212"/>
        <v>13.339805825242721</v>
      </c>
      <c r="AD405" s="49">
        <f t="shared" si="213"/>
        <v>23.262135922330096</v>
      </c>
      <c r="AE405" s="49">
        <f t="shared" si="214"/>
        <v>7.2524271844660202</v>
      </c>
      <c r="AF405" s="49">
        <f t="shared" si="215"/>
        <v>21.35276073619632</v>
      </c>
      <c r="AG405" s="49">
        <f t="shared" si="216"/>
        <v>11.374233128834357</v>
      </c>
      <c r="AH405" s="49">
        <f t="shared" si="217"/>
        <v>8</v>
      </c>
      <c r="AI405" s="47">
        <f t="shared" si="226"/>
        <v>9.000712271924078</v>
      </c>
      <c r="AJ405" s="134">
        <f t="shared" si="227"/>
        <v>108.00854726308893</v>
      </c>
      <c r="AK405"/>
    </row>
    <row r="406" spans="2:37" ht="15" x14ac:dyDescent="0.25">
      <c r="B406" s="1" t="str">
        <f t="shared" si="204"/>
        <v>VancRoll OffTARP</v>
      </c>
      <c r="C406" s="58" t="s">
        <v>341</v>
      </c>
      <c r="D406" s="58" t="s">
        <v>386</v>
      </c>
      <c r="E406" s="11">
        <v>0</v>
      </c>
      <c r="F406" s="11">
        <v>0</v>
      </c>
      <c r="G406" s="11">
        <v>0</v>
      </c>
      <c r="I406" s="14">
        <v>0</v>
      </c>
      <c r="J406" s="14">
        <v>10</v>
      </c>
      <c r="K406" s="14">
        <v>0</v>
      </c>
      <c r="L406" s="14">
        <v>0</v>
      </c>
      <c r="M406" s="14">
        <v>0</v>
      </c>
      <c r="N406" s="14">
        <v>0</v>
      </c>
      <c r="O406" s="14">
        <v>0</v>
      </c>
      <c r="P406" s="14">
        <v>0</v>
      </c>
      <c r="Q406" s="14">
        <v>0</v>
      </c>
      <c r="R406" s="14">
        <v>0</v>
      </c>
      <c r="S406" s="14">
        <v>0</v>
      </c>
      <c r="T406" s="14">
        <v>0</v>
      </c>
      <c r="U406" s="73">
        <f t="shared" si="205"/>
        <v>10</v>
      </c>
      <c r="W406" s="49">
        <f t="shared" si="206"/>
        <v>0</v>
      </c>
      <c r="X406" s="49">
        <f t="shared" si="207"/>
        <v>0</v>
      </c>
      <c r="Y406" s="49">
        <f t="shared" si="208"/>
        <v>0</v>
      </c>
      <c r="Z406" s="49">
        <f t="shared" si="209"/>
        <v>0</v>
      </c>
      <c r="AA406" s="49">
        <f t="shared" si="210"/>
        <v>0</v>
      </c>
      <c r="AB406" s="49">
        <f t="shared" si="211"/>
        <v>0</v>
      </c>
      <c r="AC406" s="49">
        <f t="shared" si="212"/>
        <v>0</v>
      </c>
      <c r="AD406" s="49">
        <f t="shared" si="213"/>
        <v>0</v>
      </c>
      <c r="AE406" s="49">
        <f t="shared" si="214"/>
        <v>0</v>
      </c>
      <c r="AF406" s="49">
        <f t="shared" si="215"/>
        <v>0</v>
      </c>
      <c r="AG406" s="49">
        <f t="shared" si="216"/>
        <v>0</v>
      </c>
      <c r="AH406" s="49">
        <f t="shared" si="217"/>
        <v>0</v>
      </c>
      <c r="AI406" s="47">
        <f t="shared" si="226"/>
        <v>0</v>
      </c>
      <c r="AJ406" s="134">
        <f t="shared" si="227"/>
        <v>0</v>
      </c>
      <c r="AK406"/>
    </row>
    <row r="407" spans="2:37" ht="15" x14ac:dyDescent="0.25">
      <c r="B407" s="1" t="str">
        <f t="shared" si="204"/>
        <v>VancRoll OffVDTIME</v>
      </c>
      <c r="C407" s="58" t="s">
        <v>342</v>
      </c>
      <c r="D407" s="58" t="s">
        <v>387</v>
      </c>
      <c r="E407" s="11">
        <v>2.08</v>
      </c>
      <c r="F407" s="11">
        <v>2.08</v>
      </c>
      <c r="G407" s="11">
        <v>2.19</v>
      </c>
      <c r="I407" s="14">
        <v>651.6</v>
      </c>
      <c r="J407" s="14">
        <v>405.6</v>
      </c>
      <c r="K407" s="14">
        <v>1460.7</v>
      </c>
      <c r="L407" s="14">
        <v>450.6</v>
      </c>
      <c r="M407" s="14">
        <v>468</v>
      </c>
      <c r="N407" s="14">
        <v>873.6</v>
      </c>
      <c r="O407" s="14">
        <v>686.4</v>
      </c>
      <c r="P407" s="14">
        <v>967.2</v>
      </c>
      <c r="Q407" s="14">
        <v>249.6</v>
      </c>
      <c r="R407" s="14">
        <v>861.3</v>
      </c>
      <c r="S407" s="14">
        <v>857.7</v>
      </c>
      <c r="T407" s="14">
        <v>1132.6500000000001</v>
      </c>
      <c r="U407" s="73">
        <f t="shared" si="205"/>
        <v>9064.9500000000007</v>
      </c>
      <c r="W407" s="49">
        <f t="shared" si="206"/>
        <v>313.26923076923077</v>
      </c>
      <c r="X407" s="49">
        <f t="shared" si="207"/>
        <v>195</v>
      </c>
      <c r="Y407" s="49">
        <f t="shared" si="208"/>
        <v>702.25961538461536</v>
      </c>
      <c r="Z407" s="49">
        <f t="shared" si="209"/>
        <v>216.63461538461539</v>
      </c>
      <c r="AA407" s="49">
        <f t="shared" si="210"/>
        <v>225</v>
      </c>
      <c r="AB407" s="49">
        <f t="shared" si="211"/>
        <v>420</v>
      </c>
      <c r="AC407" s="49">
        <f t="shared" si="212"/>
        <v>330</v>
      </c>
      <c r="AD407" s="49">
        <f t="shared" si="213"/>
        <v>465</v>
      </c>
      <c r="AE407" s="49">
        <f t="shared" si="214"/>
        <v>120</v>
      </c>
      <c r="AF407" s="49">
        <f t="shared" si="215"/>
        <v>393.28767123287668</v>
      </c>
      <c r="AG407" s="49">
        <f t="shared" si="216"/>
        <v>391.64383561643837</v>
      </c>
      <c r="AH407" s="49">
        <f t="shared" si="217"/>
        <v>517.19178082191786</v>
      </c>
      <c r="AI407" s="47">
        <f t="shared" si="226"/>
        <v>357.44056243414121</v>
      </c>
      <c r="AJ407" s="134">
        <f t="shared" si="227"/>
        <v>4289.2867492096948</v>
      </c>
      <c r="AK407"/>
    </row>
    <row r="408" spans="2:37" ht="15" x14ac:dyDescent="0.25">
      <c r="B408" s="1" t="str">
        <f>"Vanc"&amp;"Roll Off"&amp;C408</f>
        <v>VancRoll OffDBTRIP</v>
      </c>
      <c r="C408" s="58" t="s">
        <v>344</v>
      </c>
      <c r="D408" s="58" t="s">
        <v>389</v>
      </c>
      <c r="E408" s="11">
        <v>35.08</v>
      </c>
      <c r="F408" s="11">
        <v>35.08</v>
      </c>
      <c r="G408" s="11">
        <v>36.96</v>
      </c>
      <c r="I408" s="14">
        <v>3733.7</v>
      </c>
      <c r="J408" s="14">
        <v>3461.92</v>
      </c>
      <c r="K408" s="14">
        <v>4338.68</v>
      </c>
      <c r="L408" s="14">
        <v>4240.16</v>
      </c>
      <c r="M408" s="14">
        <v>4399.9799999999996</v>
      </c>
      <c r="N408" s="14">
        <v>5069</v>
      </c>
      <c r="O408" s="14">
        <v>5861.86</v>
      </c>
      <c r="P408" s="14">
        <v>4961.62</v>
      </c>
      <c r="Q408" s="14">
        <v>4474.72</v>
      </c>
      <c r="R408" s="14">
        <v>5102.57</v>
      </c>
      <c r="S408" s="14">
        <v>3303.55</v>
      </c>
      <c r="T408" s="14">
        <v>7498.02</v>
      </c>
      <c r="U408" s="73">
        <f>SUM(I408:T408)</f>
        <v>56445.78</v>
      </c>
      <c r="W408" s="49">
        <f t="shared" si="206"/>
        <v>106.43386545039908</v>
      </c>
      <c r="X408" s="49">
        <f t="shared" si="207"/>
        <v>98.68643101482327</v>
      </c>
      <c r="Y408" s="49">
        <f t="shared" si="208"/>
        <v>123.67958950969215</v>
      </c>
      <c r="Z408" s="49">
        <f t="shared" si="209"/>
        <v>120.87115165336374</v>
      </c>
      <c r="AA408" s="49">
        <f t="shared" si="210"/>
        <v>125.42702394526795</v>
      </c>
      <c r="AB408" s="49">
        <f t="shared" si="211"/>
        <v>144.49828962371723</v>
      </c>
      <c r="AC408" s="49">
        <f t="shared" si="212"/>
        <v>167.09977194982895</v>
      </c>
      <c r="AD408" s="49">
        <f t="shared" si="213"/>
        <v>141.43728620296466</v>
      </c>
      <c r="AE408" s="49">
        <f t="shared" si="214"/>
        <v>127.55758266818701</v>
      </c>
      <c r="AF408" s="49">
        <f t="shared" si="215"/>
        <v>138.05654761904762</v>
      </c>
      <c r="AG408" s="49">
        <f t="shared" si="216"/>
        <v>89.381764069264065</v>
      </c>
      <c r="AH408" s="49">
        <f t="shared" si="217"/>
        <v>202.86850649350649</v>
      </c>
      <c r="AI408" s="47">
        <f>+IFERROR(AVERAGE(W408:AH408),0)</f>
        <v>132.16648418333853</v>
      </c>
      <c r="AJ408" s="134">
        <f>SUM(W408:AH408)</f>
        <v>1585.9978102000623</v>
      </c>
      <c r="AK408"/>
    </row>
    <row r="409" spans="2:37" ht="15" x14ac:dyDescent="0.25">
      <c r="B409" s="1" t="str">
        <f>"Vanc"&amp;"Roll Off"&amp;C409</f>
        <v>VancRoll OffDBPTRIP</v>
      </c>
      <c r="C409" s="58" t="s">
        <v>1283</v>
      </c>
      <c r="D409" s="58" t="s">
        <v>1284</v>
      </c>
      <c r="E409" s="11">
        <v>95.6</v>
      </c>
      <c r="F409" s="11">
        <v>95.6</v>
      </c>
      <c r="G409" s="11">
        <v>95.6</v>
      </c>
      <c r="I409" s="14">
        <v>0</v>
      </c>
      <c r="J409" s="14">
        <v>0</v>
      </c>
      <c r="K409" s="14">
        <v>95.6</v>
      </c>
      <c r="L409" s="14">
        <v>191.2</v>
      </c>
      <c r="M409" s="14">
        <v>191.2</v>
      </c>
      <c r="N409" s="14">
        <v>191.2</v>
      </c>
      <c r="O409" s="14">
        <v>191.2</v>
      </c>
      <c r="P409" s="14">
        <v>382.4</v>
      </c>
      <c r="Q409" s="14">
        <v>95.6</v>
      </c>
      <c r="R409" s="14">
        <v>95.6</v>
      </c>
      <c r="S409" s="14">
        <v>191.2</v>
      </c>
      <c r="T409" s="14">
        <v>95.6</v>
      </c>
      <c r="U409" s="73">
        <f t="shared" si="205"/>
        <v>1720.7999999999995</v>
      </c>
      <c r="W409" s="49">
        <f t="shared" si="206"/>
        <v>0</v>
      </c>
      <c r="X409" s="49">
        <f t="shared" si="207"/>
        <v>0</v>
      </c>
      <c r="Y409" s="49">
        <f t="shared" si="208"/>
        <v>1</v>
      </c>
      <c r="Z409" s="49">
        <f t="shared" si="209"/>
        <v>2</v>
      </c>
      <c r="AA409" s="49">
        <f t="shared" si="210"/>
        <v>2</v>
      </c>
      <c r="AB409" s="49">
        <f t="shared" si="211"/>
        <v>2</v>
      </c>
      <c r="AC409" s="49">
        <f t="shared" si="212"/>
        <v>2</v>
      </c>
      <c r="AD409" s="49">
        <f t="shared" si="213"/>
        <v>4</v>
      </c>
      <c r="AE409" s="49">
        <f t="shared" si="214"/>
        <v>1</v>
      </c>
      <c r="AF409" s="49">
        <f t="shared" si="215"/>
        <v>1</v>
      </c>
      <c r="AG409" s="49">
        <f t="shared" si="216"/>
        <v>2</v>
      </c>
      <c r="AH409" s="49">
        <f t="shared" si="217"/>
        <v>1</v>
      </c>
      <c r="AI409" s="47">
        <f t="shared" si="226"/>
        <v>1.5</v>
      </c>
      <c r="AJ409" s="134">
        <f t="shared" si="227"/>
        <v>18</v>
      </c>
      <c r="AK409"/>
    </row>
    <row r="410" spans="2:37" ht="15" x14ac:dyDescent="0.25">
      <c r="B410" s="1" t="str">
        <f t="shared" si="204"/>
        <v>VancRoll OffDWSAN15</v>
      </c>
      <c r="C410" s="58" t="s">
        <v>911</v>
      </c>
      <c r="D410" s="58" t="s">
        <v>916</v>
      </c>
      <c r="E410" s="11">
        <v>116.67</v>
      </c>
      <c r="F410" s="11">
        <v>116.67</v>
      </c>
      <c r="G410" s="11">
        <v>122.88</v>
      </c>
      <c r="I410" s="14">
        <v>0</v>
      </c>
      <c r="J410" s="14">
        <v>116.67</v>
      </c>
      <c r="K410" s="14">
        <v>0</v>
      </c>
      <c r="L410" s="14">
        <v>233.34</v>
      </c>
      <c r="M410" s="14">
        <v>116.67</v>
      </c>
      <c r="N410" s="14">
        <v>0</v>
      </c>
      <c r="O410" s="14">
        <v>116.67</v>
      </c>
      <c r="P410" s="14">
        <v>116.67</v>
      </c>
      <c r="Q410" s="14">
        <v>0</v>
      </c>
      <c r="R410" s="14">
        <v>0</v>
      </c>
      <c r="S410" s="14">
        <v>0</v>
      </c>
      <c r="T410" s="14">
        <v>0</v>
      </c>
      <c r="U410" s="73">
        <f t="shared" si="205"/>
        <v>700.02</v>
      </c>
      <c r="W410" s="49">
        <f t="shared" si="206"/>
        <v>0</v>
      </c>
      <c r="X410" s="49">
        <f t="shared" si="207"/>
        <v>1</v>
      </c>
      <c r="Y410" s="49">
        <f t="shared" si="208"/>
        <v>0</v>
      </c>
      <c r="Z410" s="49">
        <f t="shared" si="209"/>
        <v>2</v>
      </c>
      <c r="AA410" s="49">
        <f t="shared" si="210"/>
        <v>1</v>
      </c>
      <c r="AB410" s="49">
        <f t="shared" si="211"/>
        <v>0</v>
      </c>
      <c r="AC410" s="49">
        <f t="shared" si="212"/>
        <v>1</v>
      </c>
      <c r="AD410" s="49">
        <f t="shared" si="213"/>
        <v>1</v>
      </c>
      <c r="AE410" s="49">
        <f t="shared" si="214"/>
        <v>0</v>
      </c>
      <c r="AF410" s="49">
        <f t="shared" si="215"/>
        <v>0</v>
      </c>
      <c r="AG410" s="49">
        <f t="shared" si="216"/>
        <v>0</v>
      </c>
      <c r="AH410" s="49">
        <f t="shared" si="217"/>
        <v>0</v>
      </c>
      <c r="AI410" s="47">
        <f t="shared" si="226"/>
        <v>0.5</v>
      </c>
      <c r="AJ410" s="134">
        <f t="shared" si="227"/>
        <v>6</v>
      </c>
      <c r="AK410"/>
    </row>
    <row r="411" spans="2:37" ht="15" x14ac:dyDescent="0.25">
      <c r="B411" s="1" t="str">
        <f t="shared" si="204"/>
        <v>VancRoll OffDWSAN20</v>
      </c>
      <c r="C411" s="58" t="s">
        <v>345</v>
      </c>
      <c r="D411" s="58" t="s">
        <v>390</v>
      </c>
      <c r="E411" s="11">
        <v>140.27000000000001</v>
      </c>
      <c r="F411" s="11">
        <v>140.27000000000001</v>
      </c>
      <c r="G411" s="11">
        <v>147.72999999999999</v>
      </c>
      <c r="I411" s="14">
        <v>280.54000000000002</v>
      </c>
      <c r="J411" s="14">
        <v>420.81</v>
      </c>
      <c r="K411" s="14">
        <v>420.81</v>
      </c>
      <c r="L411" s="14">
        <v>701.35</v>
      </c>
      <c r="M411" s="14">
        <v>140.27000000000001</v>
      </c>
      <c r="N411" s="14">
        <v>561.08000000000004</v>
      </c>
      <c r="O411" s="14">
        <v>420.81</v>
      </c>
      <c r="P411" s="14">
        <v>561.08000000000004</v>
      </c>
      <c r="Q411" s="14">
        <v>140.27000000000001</v>
      </c>
      <c r="R411" s="14">
        <v>147.72999999999999</v>
      </c>
      <c r="S411" s="14">
        <v>443.19</v>
      </c>
      <c r="T411" s="14">
        <v>295.45999999999998</v>
      </c>
      <c r="U411" s="73">
        <f t="shared" si="205"/>
        <v>4533.3999999999996</v>
      </c>
      <c r="W411" s="49">
        <f t="shared" si="206"/>
        <v>2</v>
      </c>
      <c r="X411" s="49">
        <f t="shared" si="207"/>
        <v>3</v>
      </c>
      <c r="Y411" s="49">
        <f t="shared" si="208"/>
        <v>3</v>
      </c>
      <c r="Z411" s="49">
        <f t="shared" si="209"/>
        <v>5</v>
      </c>
      <c r="AA411" s="49">
        <f t="shared" si="210"/>
        <v>1</v>
      </c>
      <c r="AB411" s="49">
        <f t="shared" si="211"/>
        <v>4</v>
      </c>
      <c r="AC411" s="49">
        <f t="shared" si="212"/>
        <v>3</v>
      </c>
      <c r="AD411" s="49">
        <f t="shared" si="213"/>
        <v>4</v>
      </c>
      <c r="AE411" s="49">
        <f t="shared" si="214"/>
        <v>1</v>
      </c>
      <c r="AF411" s="49">
        <f t="shared" si="215"/>
        <v>1</v>
      </c>
      <c r="AG411" s="49">
        <f t="shared" si="216"/>
        <v>3</v>
      </c>
      <c r="AH411" s="49">
        <f t="shared" si="217"/>
        <v>2</v>
      </c>
      <c r="AI411" s="47">
        <f t="shared" si="226"/>
        <v>2.6666666666666665</v>
      </c>
      <c r="AJ411" s="134">
        <f t="shared" si="227"/>
        <v>32</v>
      </c>
      <c r="AK411"/>
    </row>
    <row r="412" spans="2:37" ht="15" x14ac:dyDescent="0.25">
      <c r="B412" s="1" t="str">
        <f>"Vanc"&amp;"Roll Off"&amp;C412</f>
        <v>VancRoll OffDWSAN40</v>
      </c>
      <c r="C412" s="58" t="s">
        <v>347</v>
      </c>
      <c r="D412" s="58" t="s">
        <v>392</v>
      </c>
      <c r="E412" s="11">
        <v>234.67</v>
      </c>
      <c r="F412" s="11">
        <v>234.67</v>
      </c>
      <c r="G412" s="11">
        <v>247.13</v>
      </c>
      <c r="I412" s="14">
        <v>0</v>
      </c>
      <c r="J412" s="14">
        <v>0</v>
      </c>
      <c r="K412" s="14">
        <v>0</v>
      </c>
      <c r="L412" s="14">
        <v>0</v>
      </c>
      <c r="M412" s="14">
        <v>0</v>
      </c>
      <c r="N412" s="14">
        <v>0</v>
      </c>
      <c r="O412" s="14">
        <v>0</v>
      </c>
      <c r="P412" s="14">
        <v>0</v>
      </c>
      <c r="Q412" s="14">
        <v>0</v>
      </c>
      <c r="R412" s="14">
        <v>0</v>
      </c>
      <c r="S412" s="14">
        <v>0</v>
      </c>
      <c r="T412" s="14">
        <v>0</v>
      </c>
      <c r="U412" s="73">
        <f>SUM(I412:T412)</f>
        <v>0</v>
      </c>
      <c r="W412" s="49">
        <f t="shared" si="206"/>
        <v>0</v>
      </c>
      <c r="X412" s="49">
        <f t="shared" si="207"/>
        <v>0</v>
      </c>
      <c r="Y412" s="49">
        <f t="shared" si="208"/>
        <v>0</v>
      </c>
      <c r="Z412" s="49">
        <f t="shared" si="209"/>
        <v>0</v>
      </c>
      <c r="AA412" s="49">
        <f t="shared" si="210"/>
        <v>0</v>
      </c>
      <c r="AB412" s="49">
        <f t="shared" si="211"/>
        <v>0</v>
      </c>
      <c r="AC412" s="49">
        <f t="shared" si="212"/>
        <v>0</v>
      </c>
      <c r="AD412" s="49">
        <f t="shared" si="213"/>
        <v>0</v>
      </c>
      <c r="AE412" s="49">
        <f t="shared" si="214"/>
        <v>0</v>
      </c>
      <c r="AF412" s="49">
        <f t="shared" si="215"/>
        <v>0</v>
      </c>
      <c r="AG412" s="49">
        <f t="shared" si="216"/>
        <v>0</v>
      </c>
      <c r="AH412" s="49">
        <f t="shared" si="217"/>
        <v>0</v>
      </c>
      <c r="AI412" s="47">
        <f t="shared" si="226"/>
        <v>0</v>
      </c>
      <c r="AJ412" s="134">
        <f t="shared" si="227"/>
        <v>0</v>
      </c>
      <c r="AK412"/>
    </row>
    <row r="413" spans="2:37" ht="15" x14ac:dyDescent="0.25">
      <c r="B413" s="1" t="str">
        <f t="shared" si="204"/>
        <v>VancRoll OffWAHAUL40</v>
      </c>
      <c r="C413" s="58" t="s">
        <v>983</v>
      </c>
      <c r="D413" s="58" t="s">
        <v>991</v>
      </c>
      <c r="E413" s="11">
        <v>171.88</v>
      </c>
      <c r="F413" s="11">
        <v>171.88</v>
      </c>
      <c r="G413" s="11">
        <v>181.09</v>
      </c>
      <c r="I413" s="14">
        <v>0</v>
      </c>
      <c r="J413" s="14">
        <v>0</v>
      </c>
      <c r="K413" s="14">
        <v>0</v>
      </c>
      <c r="L413" s="14">
        <v>0</v>
      </c>
      <c r="M413" s="14">
        <v>0</v>
      </c>
      <c r="N413" s="14">
        <v>0</v>
      </c>
      <c r="O413" s="14">
        <v>0</v>
      </c>
      <c r="P413" s="14">
        <v>0</v>
      </c>
      <c r="Q413" s="14">
        <v>0</v>
      </c>
      <c r="R413" s="14">
        <v>0</v>
      </c>
      <c r="S413" s="14">
        <v>0</v>
      </c>
      <c r="T413" s="14">
        <v>0</v>
      </c>
      <c r="U413" s="73">
        <f>SUM(I413:T413)</f>
        <v>0</v>
      </c>
      <c r="W413" s="49">
        <f t="shared" si="206"/>
        <v>0</v>
      </c>
      <c r="X413" s="49">
        <f t="shared" si="207"/>
        <v>0</v>
      </c>
      <c r="Y413" s="49">
        <f t="shared" si="208"/>
        <v>0</v>
      </c>
      <c r="Z413" s="49">
        <f t="shared" si="209"/>
        <v>0</v>
      </c>
      <c r="AA413" s="49">
        <f t="shared" si="210"/>
        <v>0</v>
      </c>
      <c r="AB413" s="49">
        <f t="shared" si="211"/>
        <v>0</v>
      </c>
      <c r="AC413" s="49">
        <f t="shared" si="212"/>
        <v>0</v>
      </c>
      <c r="AD413" s="49">
        <f t="shared" si="213"/>
        <v>0</v>
      </c>
      <c r="AE413" s="49">
        <f t="shared" si="214"/>
        <v>0</v>
      </c>
      <c r="AF413" s="49">
        <f t="shared" si="215"/>
        <v>0</v>
      </c>
      <c r="AG413" s="49">
        <f t="shared" si="216"/>
        <v>0</v>
      </c>
      <c r="AH413" s="49">
        <f t="shared" si="217"/>
        <v>0</v>
      </c>
      <c r="AI413" s="47">
        <f t="shared" si="226"/>
        <v>0</v>
      </c>
      <c r="AJ413" s="134">
        <f t="shared" si="227"/>
        <v>0</v>
      </c>
      <c r="AK413"/>
    </row>
    <row r="414" spans="2:37" ht="15" x14ac:dyDescent="0.25">
      <c r="B414" s="1" t="str">
        <f t="shared" si="204"/>
        <v>VancRoll OffPHAZ</v>
      </c>
      <c r="C414" s="58" t="s">
        <v>1083</v>
      </c>
      <c r="D414" s="58" t="s">
        <v>1129</v>
      </c>
      <c r="E414" s="11">
        <v>0</v>
      </c>
      <c r="F414" s="11">
        <v>0</v>
      </c>
      <c r="G414" s="11">
        <v>0</v>
      </c>
      <c r="I414" s="14">
        <v>496.26</v>
      </c>
      <c r="J414" s="14">
        <v>148.36000000000001</v>
      </c>
      <c r="K414" s="14">
        <v>0</v>
      </c>
      <c r="L414" s="14">
        <v>0</v>
      </c>
      <c r="M414" s="14">
        <v>126.89</v>
      </c>
      <c r="N414" s="14">
        <v>0</v>
      </c>
      <c r="O414" s="14">
        <v>0</v>
      </c>
      <c r="P414" s="14">
        <v>2475.65</v>
      </c>
      <c r="Q414" s="14">
        <v>0</v>
      </c>
      <c r="R414" s="14">
        <v>0</v>
      </c>
      <c r="S414" s="14">
        <v>0</v>
      </c>
      <c r="T414" s="14">
        <v>0</v>
      </c>
      <c r="U414" s="73">
        <f>SUM(I414:T414)</f>
        <v>3247.16</v>
      </c>
      <c r="W414" s="49">
        <f t="shared" si="206"/>
        <v>0</v>
      </c>
      <c r="X414" s="49">
        <f t="shared" si="207"/>
        <v>0</v>
      </c>
      <c r="Y414" s="49">
        <f t="shared" si="208"/>
        <v>0</v>
      </c>
      <c r="Z414" s="49">
        <f t="shared" si="209"/>
        <v>0</v>
      </c>
      <c r="AA414" s="49">
        <f t="shared" si="210"/>
        <v>0</v>
      </c>
      <c r="AB414" s="49">
        <f t="shared" si="211"/>
        <v>0</v>
      </c>
      <c r="AC414" s="49">
        <f t="shared" si="212"/>
        <v>0</v>
      </c>
      <c r="AD414" s="49">
        <f t="shared" si="213"/>
        <v>0</v>
      </c>
      <c r="AE414" s="49">
        <f t="shared" si="214"/>
        <v>0</v>
      </c>
      <c r="AF414" s="49">
        <f t="shared" si="215"/>
        <v>0</v>
      </c>
      <c r="AG414" s="49">
        <f t="shared" si="216"/>
        <v>0</v>
      </c>
      <c r="AH414" s="49">
        <f t="shared" si="217"/>
        <v>0</v>
      </c>
      <c r="AI414" s="47">
        <f t="shared" si="226"/>
        <v>0</v>
      </c>
      <c r="AJ414" s="134">
        <f t="shared" si="227"/>
        <v>0</v>
      </c>
      <c r="AK414"/>
    </row>
    <row r="415" spans="2:37" ht="15" x14ac:dyDescent="0.25">
      <c r="B415" s="1" t="str">
        <f t="shared" si="204"/>
        <v>VancRoll OffCACOMPRNT</v>
      </c>
      <c r="C415" s="58" t="s">
        <v>666</v>
      </c>
      <c r="D415" s="58" t="s">
        <v>671</v>
      </c>
      <c r="E415" s="11">
        <v>123.39</v>
      </c>
      <c r="F415" s="11">
        <v>123.39</v>
      </c>
      <c r="G415" s="11">
        <v>130</v>
      </c>
      <c r="I415" s="14">
        <v>123.39</v>
      </c>
      <c r="J415" s="14">
        <v>123.39</v>
      </c>
      <c r="K415" s="14">
        <v>123.39</v>
      </c>
      <c r="L415" s="14">
        <v>123.39</v>
      </c>
      <c r="M415" s="14">
        <v>123.39</v>
      </c>
      <c r="N415" s="14">
        <v>123.39</v>
      </c>
      <c r="O415" s="14">
        <v>123.39</v>
      </c>
      <c r="P415" s="14">
        <v>123.39</v>
      </c>
      <c r="Q415" s="14">
        <v>123.39</v>
      </c>
      <c r="R415" s="14">
        <v>130</v>
      </c>
      <c r="S415" s="14">
        <v>130</v>
      </c>
      <c r="T415" s="14">
        <v>130</v>
      </c>
      <c r="U415" s="73">
        <f>SUM(I415:T415)</f>
        <v>1500.51</v>
      </c>
      <c r="W415" s="49">
        <f t="shared" si="206"/>
        <v>1</v>
      </c>
      <c r="X415" s="49">
        <f t="shared" si="207"/>
        <v>1</v>
      </c>
      <c r="Y415" s="49">
        <f t="shared" si="208"/>
        <v>1</v>
      </c>
      <c r="Z415" s="49">
        <f t="shared" si="209"/>
        <v>1</v>
      </c>
      <c r="AA415" s="49">
        <f t="shared" si="210"/>
        <v>1</v>
      </c>
      <c r="AB415" s="49">
        <f t="shared" si="211"/>
        <v>1</v>
      </c>
      <c r="AC415" s="49">
        <f t="shared" si="212"/>
        <v>1</v>
      </c>
      <c r="AD415" s="49">
        <f t="shared" si="213"/>
        <v>1</v>
      </c>
      <c r="AE415" s="49">
        <f t="shared" si="214"/>
        <v>1</v>
      </c>
      <c r="AF415" s="49">
        <f t="shared" si="215"/>
        <v>1</v>
      </c>
      <c r="AG415" s="49">
        <f t="shared" si="216"/>
        <v>1</v>
      </c>
      <c r="AH415" s="49">
        <f t="shared" si="217"/>
        <v>1</v>
      </c>
      <c r="AI415" s="47">
        <f t="shared" si="226"/>
        <v>1</v>
      </c>
      <c r="AJ415" s="134">
        <f t="shared" si="227"/>
        <v>12</v>
      </c>
      <c r="AK415"/>
    </row>
    <row r="416" spans="2:37" ht="15" x14ac:dyDescent="0.25">
      <c r="B416" s="1" t="str">
        <f>"Vanc"&amp;"Roll Off"&amp;C416</f>
        <v>VancRoll OffWAMISC</v>
      </c>
      <c r="C416" s="58" t="s">
        <v>343</v>
      </c>
      <c r="D416" s="45" t="s">
        <v>388</v>
      </c>
      <c r="E416" s="11">
        <v>124.8</v>
      </c>
      <c r="F416" s="11">
        <v>124.8</v>
      </c>
      <c r="G416" s="11">
        <v>131.4</v>
      </c>
      <c r="I416" s="14">
        <v>218.4</v>
      </c>
      <c r="J416" s="14">
        <v>530.4</v>
      </c>
      <c r="K416" s="14">
        <v>499.2</v>
      </c>
      <c r="L416" s="14">
        <v>124.8</v>
      </c>
      <c r="M416" s="14">
        <v>998.4</v>
      </c>
      <c r="N416" s="14">
        <v>686.4</v>
      </c>
      <c r="O416" s="14">
        <v>567.84</v>
      </c>
      <c r="P416" s="14">
        <v>2506.1999999999998</v>
      </c>
      <c r="Q416" s="14">
        <v>910.08</v>
      </c>
      <c r="R416" s="14">
        <v>1678.95</v>
      </c>
      <c r="S416" s="14">
        <v>1281.1500000000001</v>
      </c>
      <c r="T416" s="14">
        <v>689.85</v>
      </c>
      <c r="U416" s="73">
        <f>SUM(I416:T416)</f>
        <v>10691.67</v>
      </c>
      <c r="W416" s="49">
        <f t="shared" si="206"/>
        <v>1.75</v>
      </c>
      <c r="X416" s="49">
        <f t="shared" si="207"/>
        <v>4.25</v>
      </c>
      <c r="Y416" s="49">
        <f t="shared" si="208"/>
        <v>4</v>
      </c>
      <c r="Z416" s="49">
        <f t="shared" si="209"/>
        <v>1</v>
      </c>
      <c r="AA416" s="49">
        <f t="shared" si="210"/>
        <v>8</v>
      </c>
      <c r="AB416" s="49">
        <f t="shared" si="211"/>
        <v>5.5</v>
      </c>
      <c r="AC416" s="49">
        <f t="shared" si="212"/>
        <v>4.5500000000000007</v>
      </c>
      <c r="AD416" s="49">
        <f t="shared" si="213"/>
        <v>20.081730769230766</v>
      </c>
      <c r="AE416" s="49">
        <f t="shared" si="214"/>
        <v>7.292307692307693</v>
      </c>
      <c r="AF416" s="49">
        <f t="shared" si="215"/>
        <v>12.777397260273972</v>
      </c>
      <c r="AG416" s="49">
        <f t="shared" si="216"/>
        <v>9.75</v>
      </c>
      <c r="AH416" s="49">
        <f t="shared" si="217"/>
        <v>5.25</v>
      </c>
      <c r="AI416" s="47">
        <f t="shared" si="226"/>
        <v>7.0167863101510362</v>
      </c>
      <c r="AJ416" s="134">
        <f t="shared" si="227"/>
        <v>84.20143572181243</v>
      </c>
      <c r="AK416"/>
    </row>
    <row r="417" spans="1:47" ht="15" x14ac:dyDescent="0.25">
      <c r="C417" s="45"/>
      <c r="D417" s="45"/>
      <c r="AJ417"/>
      <c r="AK417"/>
    </row>
    <row r="418" spans="1:47" ht="15" x14ac:dyDescent="0.25">
      <c r="C418" s="45"/>
      <c r="D418" s="52" t="s">
        <v>15</v>
      </c>
      <c r="I418" s="97">
        <f t="shared" ref="I418:U418" si="228">SUM(I366:I417)</f>
        <v>230908.40000000005</v>
      </c>
      <c r="J418" s="97">
        <f t="shared" si="228"/>
        <v>287253.7</v>
      </c>
      <c r="K418" s="97">
        <f t="shared" si="228"/>
        <v>278931.82</v>
      </c>
      <c r="L418" s="97">
        <f t="shared" si="228"/>
        <v>261416.07</v>
      </c>
      <c r="M418" s="97">
        <f t="shared" si="228"/>
        <v>281175.89</v>
      </c>
      <c r="N418" s="97">
        <f t="shared" si="228"/>
        <v>267583.04000000004</v>
      </c>
      <c r="O418" s="97">
        <f t="shared" si="228"/>
        <v>270317.9800000001</v>
      </c>
      <c r="P418" s="97">
        <f t="shared" si="228"/>
        <v>260849.65000000002</v>
      </c>
      <c r="Q418" s="97">
        <f t="shared" si="228"/>
        <v>233502.92</v>
      </c>
      <c r="R418" s="97">
        <f t="shared" si="228"/>
        <v>242248.33000000007</v>
      </c>
      <c r="S418" s="97">
        <f t="shared" si="228"/>
        <v>271695.78000000003</v>
      </c>
      <c r="T418" s="97">
        <f t="shared" si="228"/>
        <v>272265.74000000011</v>
      </c>
      <c r="U418" s="97">
        <f t="shared" si="228"/>
        <v>3158149.3199999989</v>
      </c>
      <c r="W418" s="191">
        <f>SUM(W388:W394)</f>
        <v>319.82656617229924</v>
      </c>
      <c r="X418" s="191">
        <f t="shared" ref="X418:AJ418" si="229">SUM(X388:X394)</f>
        <v>330.51624929086637</v>
      </c>
      <c r="Y418" s="191">
        <f t="shared" si="229"/>
        <v>346.89334630034847</v>
      </c>
      <c r="Z418" s="191">
        <f t="shared" si="229"/>
        <v>350.72558554177806</v>
      </c>
      <c r="AA418" s="191">
        <f t="shared" si="229"/>
        <v>353.82575573385202</v>
      </c>
      <c r="AB418" s="191">
        <f t="shared" si="229"/>
        <v>346.13274981765136</v>
      </c>
      <c r="AC418" s="191">
        <f t="shared" si="229"/>
        <v>345.42912715779232</v>
      </c>
      <c r="AD418" s="191">
        <f t="shared" si="229"/>
        <v>326.801442580436</v>
      </c>
      <c r="AE418" s="191">
        <f t="shared" si="229"/>
        <v>309.73401410162899</v>
      </c>
      <c r="AF418" s="191">
        <f t="shared" si="229"/>
        <v>304.54307692307691</v>
      </c>
      <c r="AG418" s="191">
        <f t="shared" si="229"/>
        <v>307.68307692307695</v>
      </c>
      <c r="AH418" s="191">
        <f t="shared" si="229"/>
        <v>305.80500000000001</v>
      </c>
      <c r="AI418" s="191">
        <f t="shared" si="229"/>
        <v>328.99299921190061</v>
      </c>
      <c r="AJ418" s="191">
        <f t="shared" si="229"/>
        <v>3947.9159905428069</v>
      </c>
      <c r="AK418"/>
      <c r="AO418" s="196">
        <f>SUM(AO388:AO394)</f>
        <v>0</v>
      </c>
      <c r="AQ418" s="196">
        <f>SUM(AQ388:AQ394)</f>
        <v>0</v>
      </c>
      <c r="AS418" s="196">
        <f>SUM(AS388:AS394)</f>
        <v>328.99299921190061</v>
      </c>
      <c r="AU418" s="196">
        <f>SUM(AU388:AU394)</f>
        <v>0</v>
      </c>
    </row>
    <row r="419" spans="1:47" ht="15" x14ac:dyDescent="0.25">
      <c r="C419" s="45"/>
      <c r="D419" s="52"/>
      <c r="I419" s="98"/>
      <c r="J419" s="98"/>
      <c r="K419" s="79"/>
      <c r="L419" s="79"/>
      <c r="M419" s="79"/>
      <c r="N419" s="79"/>
      <c r="O419" s="79"/>
      <c r="P419" s="79"/>
      <c r="Q419" s="79"/>
      <c r="R419" s="79"/>
      <c r="S419" s="79"/>
      <c r="T419" s="79"/>
      <c r="U419" s="79"/>
      <c r="AJ419"/>
      <c r="AK419"/>
    </row>
    <row r="420" spans="1:47" s="45" customFormat="1" ht="15" x14ac:dyDescent="0.25">
      <c r="C420" s="42" t="s">
        <v>42</v>
      </c>
      <c r="D420" s="42" t="s">
        <v>42</v>
      </c>
      <c r="E420" s="53"/>
      <c r="F420" s="53"/>
      <c r="G420" s="53"/>
      <c r="H420" s="46"/>
      <c r="I420" s="46"/>
      <c r="J420" s="106"/>
      <c r="K420" s="54"/>
      <c r="L420" s="49"/>
      <c r="M420" s="49"/>
      <c r="AJ420"/>
      <c r="AK420"/>
    </row>
    <row r="421" spans="1:47" s="45" customFormat="1" ht="15" x14ac:dyDescent="0.25">
      <c r="A421" s="45" t="str">
        <f>"all"&amp;"Roll Off"&amp;C421</f>
        <v>allRoll OffDRHAUL15</v>
      </c>
      <c r="B421" s="1" t="str">
        <f t="shared" ref="B421:B432" si="230">"Vanc"&amp;"Roll Off"&amp;C421</f>
        <v>VancRoll OffDRHAUL15</v>
      </c>
      <c r="C421" s="58" t="s">
        <v>618</v>
      </c>
      <c r="D421" s="58" t="s">
        <v>629</v>
      </c>
      <c r="E421" s="11">
        <v>218.64</v>
      </c>
      <c r="F421" s="11">
        <v>252.53000000000003</v>
      </c>
      <c r="G421" s="11">
        <v>252.53</v>
      </c>
      <c r="H421" s="55"/>
      <c r="I421" s="14">
        <v>2405</v>
      </c>
      <c r="J421" s="14">
        <v>2164.5</v>
      </c>
      <c r="K421" s="14">
        <v>2645.5</v>
      </c>
      <c r="L421" s="14">
        <v>1755.68</v>
      </c>
      <c r="M421" s="14">
        <v>3535.42</v>
      </c>
      <c r="N421" s="14">
        <v>5808.19</v>
      </c>
      <c r="O421" s="14">
        <v>2272.77</v>
      </c>
      <c r="P421" s="14">
        <v>2525.3000000000002</v>
      </c>
      <c r="Q421" s="14">
        <v>1767.71</v>
      </c>
      <c r="R421" s="14">
        <v>2777.83</v>
      </c>
      <c r="S421" s="14">
        <v>3030.36</v>
      </c>
      <c r="T421" s="14">
        <v>757.59</v>
      </c>
      <c r="U421" s="73">
        <f t="shared" ref="U421:U432" si="231">SUM(I421:T421)</f>
        <v>31445.850000000002</v>
      </c>
      <c r="W421" s="49">
        <f t="shared" ref="W421:W432" si="232">IFERROR(I421/$E421,0)</f>
        <v>10.999817050859862</v>
      </c>
      <c r="X421" s="49">
        <f t="shared" ref="X421:X432" si="233">IFERROR(J421/$E421,0)</f>
        <v>9.8998353457738748</v>
      </c>
      <c r="Y421" s="49">
        <f t="shared" ref="Y421:Y432" si="234">IFERROR(K421/$E421,0)</f>
        <v>12.099798755945848</v>
      </c>
      <c r="Z421" s="49">
        <f t="shared" ref="Z421:Z432" si="235">IFERROR(L421/$F421,0)</f>
        <v>6.9523620955926022</v>
      </c>
      <c r="AA421" s="49">
        <f t="shared" ref="AA421:AA432" si="236">IFERROR(M421/$F421,0)</f>
        <v>13.999999999999998</v>
      </c>
      <c r="AB421" s="49">
        <f t="shared" ref="AB421:AB432" si="237">IFERROR(N421/$F421,0)</f>
        <v>22.999999999999996</v>
      </c>
      <c r="AC421" s="49">
        <f t="shared" ref="AC421:AC432" si="238">IFERROR(O421/$F421,0)</f>
        <v>8.9999999999999982</v>
      </c>
      <c r="AD421" s="49">
        <f t="shared" ref="AD421:AD432" si="239">IFERROR(P421/$F421,0)</f>
        <v>10</v>
      </c>
      <c r="AE421" s="49">
        <f t="shared" ref="AE421:AE432" si="240">IFERROR(Q421/$F421,0)</f>
        <v>6.9999999999999991</v>
      </c>
      <c r="AF421" s="49">
        <f t="shared" ref="AF421:AF432" si="241">IFERROR(R421/$G421,0)</f>
        <v>11</v>
      </c>
      <c r="AG421" s="49">
        <f t="shared" ref="AG421:AG432" si="242">IFERROR(S421/$G421,0)</f>
        <v>12</v>
      </c>
      <c r="AH421" s="49">
        <f t="shared" ref="AH421:AH432" si="243">IFERROR(T421/$G421,0)</f>
        <v>3</v>
      </c>
      <c r="AI421" s="47">
        <f t="shared" ref="AI421:AI427" si="244">+IFERROR(AVERAGE(W421:AH421),0)</f>
        <v>10.745984437347682</v>
      </c>
      <c r="AJ421" s="134">
        <f t="shared" ref="AJ421:AJ429" si="245">SUM(W421:AH421)</f>
        <v>128.95181324817219</v>
      </c>
      <c r="AK421"/>
      <c r="AN421" s="1">
        <v>0</v>
      </c>
      <c r="AO421" s="13">
        <f t="shared" ref="AO421:AO431" si="246">+$AI421*AN421</f>
        <v>0</v>
      </c>
      <c r="AP421" s="1">
        <v>0</v>
      </c>
      <c r="AQ421" s="13">
        <f t="shared" ref="AQ421:AQ431" si="247">+$AI421*AP421</f>
        <v>0</v>
      </c>
      <c r="AR421" s="1">
        <v>1</v>
      </c>
      <c r="AS421" s="13">
        <f t="shared" ref="AS421:AS431" si="248">+$AI421*AR421</f>
        <v>10.745984437347682</v>
      </c>
      <c r="AT421" s="1">
        <v>0</v>
      </c>
      <c r="AU421" s="13">
        <f t="shared" ref="AU421:AU426" si="249">+$AI421*AT421</f>
        <v>0</v>
      </c>
    </row>
    <row r="422" spans="1:47" s="45" customFormat="1" ht="15" x14ac:dyDescent="0.25">
      <c r="A422" s="45" t="str">
        <f t="shared" ref="A422:A432" si="250">"all"&amp;"Roll Off"&amp;C422</f>
        <v>allRoll OffDRHAUL20</v>
      </c>
      <c r="B422" s="1" t="str">
        <f t="shared" si="230"/>
        <v>VancRoll OffDRHAUL20</v>
      </c>
      <c r="C422" s="58" t="s">
        <v>619</v>
      </c>
      <c r="D422" s="58" t="s">
        <v>630</v>
      </c>
      <c r="E422" s="11">
        <v>218.64</v>
      </c>
      <c r="F422" s="11">
        <v>252.53000000000003</v>
      </c>
      <c r="G422" s="11">
        <v>252.53</v>
      </c>
      <c r="H422" s="55"/>
      <c r="I422" s="14">
        <v>4993.21</v>
      </c>
      <c r="J422" s="14">
        <v>7853.67</v>
      </c>
      <c r="K422" s="14">
        <v>6734</v>
      </c>
      <c r="L422" s="14">
        <v>8068.93</v>
      </c>
      <c r="M422" s="14">
        <v>8080.96</v>
      </c>
      <c r="N422" s="14">
        <v>5468.68</v>
      </c>
      <c r="O422" s="14">
        <v>5303.13</v>
      </c>
      <c r="P422" s="14">
        <v>4963.62</v>
      </c>
      <c r="Q422" s="14">
        <v>4798.07</v>
      </c>
      <c r="R422" s="14">
        <v>3448.44</v>
      </c>
      <c r="S422" s="14">
        <v>7515.74</v>
      </c>
      <c r="T422" s="14">
        <v>7236.39</v>
      </c>
      <c r="U422" s="73">
        <f t="shared" si="231"/>
        <v>74464.840000000011</v>
      </c>
      <c r="W422" s="49">
        <f t="shared" si="232"/>
        <v>22.837586900841568</v>
      </c>
      <c r="X422" s="49">
        <f t="shared" si="233"/>
        <v>35.920554335894622</v>
      </c>
      <c r="Y422" s="49">
        <f t="shared" si="234"/>
        <v>30.799487742407614</v>
      </c>
      <c r="Z422" s="49">
        <f t="shared" si="235"/>
        <v>31.952362095592601</v>
      </c>
      <c r="AA422" s="49">
        <f t="shared" si="236"/>
        <v>31.999999999999996</v>
      </c>
      <c r="AB422" s="49">
        <f t="shared" si="237"/>
        <v>21.655565675365303</v>
      </c>
      <c r="AC422" s="49">
        <f t="shared" si="238"/>
        <v>20.999999999999996</v>
      </c>
      <c r="AD422" s="49">
        <f t="shared" si="239"/>
        <v>19.655565675365299</v>
      </c>
      <c r="AE422" s="49">
        <f t="shared" si="240"/>
        <v>18.999999999999996</v>
      </c>
      <c r="AF422" s="49">
        <f t="shared" si="241"/>
        <v>13.655565675365303</v>
      </c>
      <c r="AG422" s="49">
        <f t="shared" si="242"/>
        <v>29.76177087870748</v>
      </c>
      <c r="AH422" s="49">
        <f t="shared" si="243"/>
        <v>28.655565675365303</v>
      </c>
      <c r="AI422" s="47">
        <f t="shared" si="244"/>
        <v>25.574502054575422</v>
      </c>
      <c r="AJ422" s="134">
        <f t="shared" si="245"/>
        <v>306.89402465490508</v>
      </c>
      <c r="AK422"/>
      <c r="AN422" s="1">
        <v>0</v>
      </c>
      <c r="AO422" s="13">
        <f t="shared" si="246"/>
        <v>0</v>
      </c>
      <c r="AP422" s="1">
        <v>0</v>
      </c>
      <c r="AQ422" s="13">
        <f t="shared" si="247"/>
        <v>0</v>
      </c>
      <c r="AR422" s="1">
        <v>1</v>
      </c>
      <c r="AS422" s="13">
        <f t="shared" si="248"/>
        <v>25.574502054575422</v>
      </c>
      <c r="AT422" s="1">
        <v>0</v>
      </c>
      <c r="AU422" s="13">
        <f t="shared" si="249"/>
        <v>0</v>
      </c>
    </row>
    <row r="423" spans="1:47" s="45" customFormat="1" ht="15" x14ac:dyDescent="0.25">
      <c r="A423" s="45" t="str">
        <f t="shared" si="250"/>
        <v>allRoll OffDRHAUL30</v>
      </c>
      <c r="B423" s="1" t="str">
        <f t="shared" si="230"/>
        <v>VancRoll OffDRHAUL30</v>
      </c>
      <c r="C423" s="58" t="s">
        <v>620</v>
      </c>
      <c r="D423" s="58" t="s">
        <v>631</v>
      </c>
      <c r="E423" s="11">
        <v>218.64</v>
      </c>
      <c r="F423" s="11">
        <v>252.53000000000003</v>
      </c>
      <c r="G423" s="11">
        <v>252.53</v>
      </c>
      <c r="H423" s="55"/>
      <c r="I423" s="14">
        <v>8898.5</v>
      </c>
      <c r="J423" s="14">
        <v>10822.5</v>
      </c>
      <c r="K423" s="14">
        <v>11063</v>
      </c>
      <c r="L423" s="14">
        <v>9596.14</v>
      </c>
      <c r="M423" s="14">
        <v>11868.91</v>
      </c>
      <c r="N423" s="14">
        <v>14141.68</v>
      </c>
      <c r="O423" s="14">
        <v>13131.56</v>
      </c>
      <c r="P423" s="14">
        <v>11868.91</v>
      </c>
      <c r="Q423" s="14">
        <v>12121.44</v>
      </c>
      <c r="R423" s="14">
        <v>12141.38</v>
      </c>
      <c r="S423" s="14">
        <v>16909.21</v>
      </c>
      <c r="T423" s="14">
        <v>15404.33</v>
      </c>
      <c r="U423" s="73">
        <f t="shared" si="231"/>
        <v>147967.56</v>
      </c>
      <c r="W423" s="49">
        <f t="shared" si="232"/>
        <v>40.699323088181487</v>
      </c>
      <c r="X423" s="49">
        <f t="shared" si="233"/>
        <v>49.499176728869379</v>
      </c>
      <c r="Y423" s="49">
        <f t="shared" si="234"/>
        <v>50.599158433955367</v>
      </c>
      <c r="Z423" s="49">
        <f t="shared" si="235"/>
        <v>37.999999999999993</v>
      </c>
      <c r="AA423" s="49">
        <f t="shared" si="236"/>
        <v>46.999999999999993</v>
      </c>
      <c r="AB423" s="49">
        <f t="shared" si="237"/>
        <v>55.999999999999993</v>
      </c>
      <c r="AC423" s="49">
        <f t="shared" si="238"/>
        <v>51.999999999999993</v>
      </c>
      <c r="AD423" s="49">
        <f t="shared" si="239"/>
        <v>46.999999999999993</v>
      </c>
      <c r="AE423" s="49">
        <f t="shared" si="240"/>
        <v>47.999999999999993</v>
      </c>
      <c r="AF423" s="49">
        <f t="shared" si="241"/>
        <v>48.078960915534786</v>
      </c>
      <c r="AG423" s="49">
        <f t="shared" si="242"/>
        <v>66.959212766799979</v>
      </c>
      <c r="AH423" s="49">
        <f t="shared" si="243"/>
        <v>61</v>
      </c>
      <c r="AI423" s="47">
        <f t="shared" si="244"/>
        <v>50.402985994445082</v>
      </c>
      <c r="AJ423" s="134">
        <f t="shared" si="245"/>
        <v>604.83583193334096</v>
      </c>
      <c r="AK423"/>
      <c r="AN423" s="1">
        <v>0</v>
      </c>
      <c r="AO423" s="13">
        <f t="shared" si="246"/>
        <v>0</v>
      </c>
      <c r="AP423" s="1">
        <v>0</v>
      </c>
      <c r="AQ423" s="13">
        <f t="shared" si="247"/>
        <v>0</v>
      </c>
      <c r="AR423" s="1">
        <v>1</v>
      </c>
      <c r="AS423" s="13">
        <f t="shared" si="248"/>
        <v>50.402985994445082</v>
      </c>
      <c r="AT423" s="1">
        <v>0</v>
      </c>
      <c r="AU423" s="13">
        <f t="shared" si="249"/>
        <v>0</v>
      </c>
    </row>
    <row r="424" spans="1:47" s="45" customFormat="1" ht="15" x14ac:dyDescent="0.25">
      <c r="A424" s="45" t="str">
        <f t="shared" si="250"/>
        <v>allRoll OffDRHAUL40</v>
      </c>
      <c r="B424" s="1" t="str">
        <f t="shared" si="230"/>
        <v>VancRoll OffDRHAUL40</v>
      </c>
      <c r="C424" s="58" t="s">
        <v>621</v>
      </c>
      <c r="D424" s="58" t="s">
        <v>632</v>
      </c>
      <c r="E424" s="11">
        <v>218.64</v>
      </c>
      <c r="F424" s="11">
        <v>252.53000000000003</v>
      </c>
      <c r="G424" s="11">
        <v>252.53</v>
      </c>
      <c r="H424" s="55"/>
      <c r="I424" s="14">
        <v>17985.900000000001</v>
      </c>
      <c r="J424" s="14">
        <v>17985.900000000001</v>
      </c>
      <c r="K424" s="14">
        <v>19692.37</v>
      </c>
      <c r="L424" s="14">
        <v>19427.080000000002</v>
      </c>
      <c r="M424" s="14">
        <v>23499.39</v>
      </c>
      <c r="N424" s="14">
        <v>16164.95</v>
      </c>
      <c r="O424" s="14">
        <v>18318.5</v>
      </c>
      <c r="P424" s="14">
        <v>16245.71</v>
      </c>
      <c r="Q424" s="14">
        <v>16670.009999999998</v>
      </c>
      <c r="R424" s="14">
        <v>10553.7</v>
      </c>
      <c r="S424" s="14">
        <v>25799.71</v>
      </c>
      <c r="T424" s="14">
        <v>20214.14</v>
      </c>
      <c r="U424" s="73">
        <f t="shared" si="231"/>
        <v>222557.36</v>
      </c>
      <c r="W424" s="49">
        <f t="shared" si="232"/>
        <v>82.262623490669611</v>
      </c>
      <c r="X424" s="49">
        <f t="shared" si="233"/>
        <v>82.262623490669611</v>
      </c>
      <c r="Y424" s="49">
        <f t="shared" si="234"/>
        <v>90.067553969996339</v>
      </c>
      <c r="Z424" s="49">
        <f t="shared" si="235"/>
        <v>76.929790519938223</v>
      </c>
      <c r="AA424" s="49">
        <f t="shared" si="236"/>
        <v>93.055834950302923</v>
      </c>
      <c r="AB424" s="49">
        <f t="shared" si="237"/>
        <v>64.011998574426798</v>
      </c>
      <c r="AC424" s="49">
        <f t="shared" si="238"/>
        <v>72.539896249950488</v>
      </c>
      <c r="AD424" s="49">
        <f t="shared" si="239"/>
        <v>64.331802162119345</v>
      </c>
      <c r="AE424" s="49">
        <f t="shared" si="240"/>
        <v>66.011998574426784</v>
      </c>
      <c r="AF424" s="49">
        <f t="shared" si="241"/>
        <v>41.791866312913321</v>
      </c>
      <c r="AG424" s="49">
        <f t="shared" si="242"/>
        <v>102.16493089929909</v>
      </c>
      <c r="AH424" s="49">
        <f t="shared" si="243"/>
        <v>80.046489525996904</v>
      </c>
      <c r="AI424" s="47">
        <f t="shared" si="244"/>
        <v>76.289784060059119</v>
      </c>
      <c r="AJ424" s="134">
        <f t="shared" si="245"/>
        <v>915.47740872070949</v>
      </c>
      <c r="AK424"/>
      <c r="AN424" s="1">
        <v>0</v>
      </c>
      <c r="AO424" s="13">
        <f t="shared" si="246"/>
        <v>0</v>
      </c>
      <c r="AP424" s="1">
        <v>0</v>
      </c>
      <c r="AQ424" s="13">
        <f t="shared" si="247"/>
        <v>0</v>
      </c>
      <c r="AR424" s="1">
        <v>1</v>
      </c>
      <c r="AS424" s="13">
        <f t="shared" si="248"/>
        <v>76.289784060059119</v>
      </c>
      <c r="AT424" s="1">
        <v>0</v>
      </c>
      <c r="AU424" s="13">
        <f t="shared" si="249"/>
        <v>0</v>
      </c>
    </row>
    <row r="425" spans="1:47" s="45" customFormat="1" ht="15" x14ac:dyDescent="0.25">
      <c r="A425" s="45" t="str">
        <f>"all"&amp;"Roll Off"&amp;C425</f>
        <v>allRoll OffFWHAUL15</v>
      </c>
      <c r="B425" s="1" t="str">
        <f>"Vanc"&amp;"Roll Off"&amp;C425</f>
        <v>VancRoll OffFWHAUL15</v>
      </c>
      <c r="C425" s="58" t="s">
        <v>1277</v>
      </c>
      <c r="D425" s="58" t="s">
        <v>1278</v>
      </c>
      <c r="E425" s="11">
        <v>122.21</v>
      </c>
      <c r="F425" s="11">
        <v>151.85</v>
      </c>
      <c r="G425" s="11">
        <v>128.75</v>
      </c>
      <c r="H425" s="55"/>
      <c r="I425" s="14">
        <v>0</v>
      </c>
      <c r="J425" s="14">
        <v>0</v>
      </c>
      <c r="K425" s="14">
        <v>0</v>
      </c>
      <c r="L425" s="14">
        <v>0</v>
      </c>
      <c r="M425" s="14">
        <v>0</v>
      </c>
      <c r="N425" s="14">
        <v>0</v>
      </c>
      <c r="O425" s="14">
        <v>0</v>
      </c>
      <c r="P425" s="14">
        <v>0</v>
      </c>
      <c r="Q425" s="14">
        <v>0</v>
      </c>
      <c r="R425" s="14">
        <v>0</v>
      </c>
      <c r="S425" s="14">
        <v>0</v>
      </c>
      <c r="T425" s="14">
        <v>0</v>
      </c>
      <c r="U425" s="73">
        <f t="shared" si="231"/>
        <v>0</v>
      </c>
      <c r="W425" s="49">
        <f t="shared" si="232"/>
        <v>0</v>
      </c>
      <c r="X425" s="49">
        <f t="shared" si="233"/>
        <v>0</v>
      </c>
      <c r="Y425" s="49">
        <f t="shared" si="234"/>
        <v>0</v>
      </c>
      <c r="Z425" s="49">
        <f t="shared" si="235"/>
        <v>0</v>
      </c>
      <c r="AA425" s="49">
        <f t="shared" si="236"/>
        <v>0</v>
      </c>
      <c r="AB425" s="49">
        <f t="shared" si="237"/>
        <v>0</v>
      </c>
      <c r="AC425" s="49">
        <f t="shared" si="238"/>
        <v>0</v>
      </c>
      <c r="AD425" s="49">
        <f t="shared" si="239"/>
        <v>0</v>
      </c>
      <c r="AE425" s="49">
        <f t="shared" si="240"/>
        <v>0</v>
      </c>
      <c r="AF425" s="49">
        <f t="shared" si="241"/>
        <v>0</v>
      </c>
      <c r="AG425" s="49">
        <f t="shared" si="242"/>
        <v>0</v>
      </c>
      <c r="AH425" s="49">
        <f t="shared" si="243"/>
        <v>0</v>
      </c>
      <c r="AI425" s="47">
        <f t="shared" si="244"/>
        <v>0</v>
      </c>
      <c r="AJ425" s="134">
        <f t="shared" si="245"/>
        <v>0</v>
      </c>
      <c r="AK425"/>
      <c r="AN425" s="212">
        <v>0</v>
      </c>
      <c r="AO425" s="25">
        <f t="shared" si="246"/>
        <v>0</v>
      </c>
      <c r="AP425" s="212">
        <v>0</v>
      </c>
      <c r="AQ425" s="25">
        <f t="shared" si="247"/>
        <v>0</v>
      </c>
      <c r="AR425" s="212">
        <v>1</v>
      </c>
      <c r="AS425" s="25">
        <f t="shared" si="248"/>
        <v>0</v>
      </c>
      <c r="AT425" s="212">
        <v>0</v>
      </c>
      <c r="AU425" s="25">
        <f t="shared" si="249"/>
        <v>0</v>
      </c>
    </row>
    <row r="426" spans="1:47" s="45" customFormat="1" ht="15" x14ac:dyDescent="0.25">
      <c r="A426" s="45" t="str">
        <f t="shared" si="250"/>
        <v>allRoll OffFWHAUL20</v>
      </c>
      <c r="B426" s="1" t="str">
        <f t="shared" si="230"/>
        <v>VancRoll OffFWHAUL20</v>
      </c>
      <c r="C426" s="58" t="s">
        <v>1270</v>
      </c>
      <c r="D426" s="58" t="s">
        <v>1271</v>
      </c>
      <c r="E426" s="11">
        <v>122.21</v>
      </c>
      <c r="F426" s="11">
        <v>151.85</v>
      </c>
      <c r="G426" s="11">
        <v>128.75</v>
      </c>
      <c r="H426" s="55"/>
      <c r="I426" s="14">
        <v>2321.9899999999998</v>
      </c>
      <c r="J426" s="14">
        <v>2810.83</v>
      </c>
      <c r="K426" s="14">
        <v>2566.41</v>
      </c>
      <c r="L426" s="14">
        <v>2694.73</v>
      </c>
      <c r="M426" s="14">
        <v>2444.1999999999998</v>
      </c>
      <c r="N426" s="14">
        <v>2566.41</v>
      </c>
      <c r="O426" s="14">
        <v>2077.5700000000002</v>
      </c>
      <c r="P426" s="14">
        <v>1710.94</v>
      </c>
      <c r="Q426" s="14">
        <v>2077.5700000000002</v>
      </c>
      <c r="R426" s="14">
        <v>2175.67</v>
      </c>
      <c r="S426" s="14">
        <v>1931.25</v>
      </c>
      <c r="T426" s="14">
        <v>1802.5</v>
      </c>
      <c r="U426" s="73">
        <f t="shared" si="231"/>
        <v>27180.07</v>
      </c>
      <c r="W426" s="49">
        <f t="shared" si="232"/>
        <v>19</v>
      </c>
      <c r="X426" s="49">
        <f t="shared" si="233"/>
        <v>23</v>
      </c>
      <c r="Y426" s="49">
        <f t="shared" si="234"/>
        <v>21</v>
      </c>
      <c r="Z426" s="49">
        <f t="shared" si="235"/>
        <v>17.745999341455384</v>
      </c>
      <c r="AA426" s="49">
        <f t="shared" si="236"/>
        <v>16.096147513994072</v>
      </c>
      <c r="AB426" s="49">
        <f t="shared" si="237"/>
        <v>16.900954889693775</v>
      </c>
      <c r="AC426" s="49">
        <f t="shared" si="238"/>
        <v>13.681725386894964</v>
      </c>
      <c r="AD426" s="49">
        <f t="shared" si="239"/>
        <v>11.267303259795852</v>
      </c>
      <c r="AE426" s="49">
        <f t="shared" si="240"/>
        <v>13.681725386894964</v>
      </c>
      <c r="AF426" s="49">
        <f t="shared" si="241"/>
        <v>16.898407766990292</v>
      </c>
      <c r="AG426" s="49">
        <f t="shared" si="242"/>
        <v>15</v>
      </c>
      <c r="AH426" s="49">
        <f t="shared" si="243"/>
        <v>14</v>
      </c>
      <c r="AI426" s="47">
        <f t="shared" si="244"/>
        <v>16.522688628809941</v>
      </c>
      <c r="AJ426" s="134">
        <f t="shared" si="245"/>
        <v>198.27226354571928</v>
      </c>
      <c r="AK426"/>
      <c r="AN426" s="212">
        <v>0</v>
      </c>
      <c r="AO426" s="25">
        <f t="shared" si="246"/>
        <v>0</v>
      </c>
      <c r="AP426" s="212">
        <v>0</v>
      </c>
      <c r="AQ426" s="25">
        <f t="shared" si="247"/>
        <v>0</v>
      </c>
      <c r="AR426" s="212">
        <v>1</v>
      </c>
      <c r="AS426" s="25">
        <f t="shared" si="248"/>
        <v>16.522688628809941</v>
      </c>
      <c r="AT426" s="212">
        <v>0</v>
      </c>
      <c r="AU426" s="25">
        <f t="shared" si="249"/>
        <v>0</v>
      </c>
    </row>
    <row r="427" spans="1:47" s="45" customFormat="1" ht="15" x14ac:dyDescent="0.25">
      <c r="A427" s="45" t="str">
        <f t="shared" si="250"/>
        <v>allRoll OffDRDEM20</v>
      </c>
      <c r="B427" s="1" t="str">
        <f t="shared" si="230"/>
        <v>VancRoll OffDRDEM20</v>
      </c>
      <c r="C427" s="58" t="s">
        <v>623</v>
      </c>
      <c r="D427" s="58" t="s">
        <v>634</v>
      </c>
      <c r="E427" s="11">
        <v>0</v>
      </c>
      <c r="F427" s="11">
        <v>87.99</v>
      </c>
      <c r="G427" s="11">
        <v>87.99</v>
      </c>
      <c r="H427" s="55"/>
      <c r="I427" s="14">
        <v>87.99</v>
      </c>
      <c r="J427" s="14">
        <v>87.99</v>
      </c>
      <c r="K427" s="14">
        <v>87.99</v>
      </c>
      <c r="L427" s="14">
        <v>87.99</v>
      </c>
      <c r="M427" s="14">
        <v>87.99</v>
      </c>
      <c r="N427" s="14">
        <v>87.99</v>
      </c>
      <c r="O427" s="14">
        <v>87.99</v>
      </c>
      <c r="P427" s="14">
        <v>87.99</v>
      </c>
      <c r="Q427" s="14">
        <v>87.99</v>
      </c>
      <c r="R427" s="14">
        <v>87.99</v>
      </c>
      <c r="S427" s="14">
        <v>87.99</v>
      </c>
      <c r="T427" s="14">
        <v>87.99</v>
      </c>
      <c r="U427" s="73">
        <f t="shared" si="231"/>
        <v>1055.8799999999999</v>
      </c>
      <c r="W427" s="49">
        <f t="shared" si="232"/>
        <v>0</v>
      </c>
      <c r="X427" s="49">
        <f t="shared" si="233"/>
        <v>0</v>
      </c>
      <c r="Y427" s="49">
        <f t="shared" si="234"/>
        <v>0</v>
      </c>
      <c r="Z427" s="49">
        <f t="shared" si="235"/>
        <v>1</v>
      </c>
      <c r="AA427" s="49">
        <f t="shared" si="236"/>
        <v>1</v>
      </c>
      <c r="AB427" s="49">
        <f t="shared" si="237"/>
        <v>1</v>
      </c>
      <c r="AC427" s="49">
        <f t="shared" si="238"/>
        <v>1</v>
      </c>
      <c r="AD427" s="49">
        <f t="shared" si="239"/>
        <v>1</v>
      </c>
      <c r="AE427" s="49">
        <f t="shared" si="240"/>
        <v>1</v>
      </c>
      <c r="AF427" s="49">
        <f t="shared" si="241"/>
        <v>1</v>
      </c>
      <c r="AG427" s="49">
        <f t="shared" si="242"/>
        <v>1</v>
      </c>
      <c r="AH427" s="49">
        <f t="shared" si="243"/>
        <v>1</v>
      </c>
      <c r="AI427" s="47">
        <f t="shared" si="244"/>
        <v>0.75</v>
      </c>
      <c r="AJ427" s="134">
        <f t="shared" si="245"/>
        <v>9</v>
      </c>
      <c r="AK427"/>
      <c r="AN427" s="212">
        <v>0</v>
      </c>
      <c r="AO427" s="25">
        <f t="shared" si="246"/>
        <v>0</v>
      </c>
      <c r="AP427" s="212">
        <v>0</v>
      </c>
      <c r="AQ427" s="25">
        <f t="shared" si="247"/>
        <v>0</v>
      </c>
      <c r="AR427" s="212">
        <v>1</v>
      </c>
      <c r="AS427" s="25">
        <f t="shared" si="248"/>
        <v>0.75</v>
      </c>
      <c r="AT427" s="212">
        <v>0</v>
      </c>
      <c r="AU427" s="25">
        <f>+$AI427*AT427</f>
        <v>0</v>
      </c>
    </row>
    <row r="428" spans="1:47" s="253" customFormat="1" ht="15" x14ac:dyDescent="0.25">
      <c r="A428" s="253" t="str">
        <f t="shared" si="250"/>
        <v>allRoll OffFWDEM20</v>
      </c>
      <c r="B428" s="241" t="str">
        <f t="shared" si="230"/>
        <v>VancRoll OffFWDEM20</v>
      </c>
      <c r="C428" s="232" t="s">
        <v>1266</v>
      </c>
      <c r="D428" s="232" t="s">
        <v>1267</v>
      </c>
      <c r="E428" s="238">
        <v>113.62</v>
      </c>
      <c r="F428" s="238">
        <v>75.8</v>
      </c>
      <c r="G428" s="238">
        <v>119.76</v>
      </c>
      <c r="H428" s="261"/>
      <c r="I428" s="243">
        <v>454.48</v>
      </c>
      <c r="J428" s="243">
        <v>454.48</v>
      </c>
      <c r="K428" s="243">
        <v>454.48</v>
      </c>
      <c r="L428" s="243">
        <v>454.48</v>
      </c>
      <c r="M428" s="243">
        <v>454.48</v>
      </c>
      <c r="N428" s="243">
        <v>454.48</v>
      </c>
      <c r="O428" s="243">
        <v>454.48</v>
      </c>
      <c r="P428" s="243">
        <v>454.48</v>
      </c>
      <c r="Q428" s="243">
        <v>454.48</v>
      </c>
      <c r="R428" s="243">
        <v>479.04</v>
      </c>
      <c r="S428" s="243">
        <v>479.04</v>
      </c>
      <c r="T428" s="243">
        <v>479.04</v>
      </c>
      <c r="U428" s="263">
        <f t="shared" si="231"/>
        <v>5527.4400000000005</v>
      </c>
      <c r="W428" s="264">
        <f t="shared" si="232"/>
        <v>4</v>
      </c>
      <c r="X428" s="264">
        <f t="shared" si="233"/>
        <v>4</v>
      </c>
      <c r="Y428" s="264">
        <f t="shared" si="234"/>
        <v>4</v>
      </c>
      <c r="Z428" s="264">
        <f t="shared" si="235"/>
        <v>5.9957783641160951</v>
      </c>
      <c r="AA428" s="264">
        <f t="shared" si="236"/>
        <v>5.9957783641160951</v>
      </c>
      <c r="AB428" s="264">
        <f t="shared" si="237"/>
        <v>5.9957783641160951</v>
      </c>
      <c r="AC428" s="264">
        <f t="shared" si="238"/>
        <v>5.9957783641160951</v>
      </c>
      <c r="AD428" s="264">
        <f t="shared" si="239"/>
        <v>5.9957783641160951</v>
      </c>
      <c r="AE428" s="264">
        <f t="shared" si="240"/>
        <v>5.9957783641160951</v>
      </c>
      <c r="AF428" s="264">
        <f t="shared" si="241"/>
        <v>4</v>
      </c>
      <c r="AG428" s="264">
        <f t="shared" si="242"/>
        <v>4</v>
      </c>
      <c r="AH428" s="264">
        <f t="shared" si="243"/>
        <v>4</v>
      </c>
      <c r="AI428" s="265">
        <f>+IFERROR(AVERAGE(W428:AH428),0)</f>
        <v>4.9978891820580467</v>
      </c>
      <c r="AJ428" s="266">
        <f t="shared" si="245"/>
        <v>59.974670184696564</v>
      </c>
      <c r="AK428" s="262"/>
      <c r="AN428" s="241">
        <v>0</v>
      </c>
      <c r="AO428" s="240">
        <f t="shared" si="246"/>
        <v>0</v>
      </c>
      <c r="AP428" s="241">
        <v>0</v>
      </c>
      <c r="AQ428" s="240">
        <f t="shared" si="247"/>
        <v>0</v>
      </c>
      <c r="AR428" s="241">
        <v>1</v>
      </c>
      <c r="AS428" s="240">
        <f t="shared" si="248"/>
        <v>4.9978891820580467</v>
      </c>
      <c r="AT428" s="241">
        <v>0</v>
      </c>
      <c r="AU428" s="240">
        <f>+$AI428*AT428</f>
        <v>0</v>
      </c>
    </row>
    <row r="429" spans="1:47" s="253" customFormat="1" ht="15" x14ac:dyDescent="0.25">
      <c r="A429" s="253" t="str">
        <f t="shared" si="250"/>
        <v>allRoll OffFWLID</v>
      </c>
      <c r="B429" s="241" t="str">
        <f t="shared" si="230"/>
        <v>VancRoll OffFWLID</v>
      </c>
      <c r="C429" s="232" t="s">
        <v>1268</v>
      </c>
      <c r="D429" s="232" t="s">
        <v>1269</v>
      </c>
      <c r="E429" s="238">
        <v>47.83</v>
      </c>
      <c r="F429" s="238">
        <v>40.920000000000009</v>
      </c>
      <c r="G429" s="238">
        <v>50.41</v>
      </c>
      <c r="H429" s="261"/>
      <c r="I429" s="243">
        <v>191.32</v>
      </c>
      <c r="J429" s="243">
        <v>191.32</v>
      </c>
      <c r="K429" s="243">
        <v>191.32</v>
      </c>
      <c r="L429" s="243">
        <v>191.32</v>
      </c>
      <c r="M429" s="243">
        <v>191.32</v>
      </c>
      <c r="N429" s="243">
        <v>191.32</v>
      </c>
      <c r="O429" s="243">
        <v>191.32</v>
      </c>
      <c r="P429" s="243">
        <v>191.32</v>
      </c>
      <c r="Q429" s="243">
        <v>191.32</v>
      </c>
      <c r="R429" s="243">
        <v>201.64</v>
      </c>
      <c r="S429" s="243">
        <v>201.64</v>
      </c>
      <c r="T429" s="243">
        <v>201.64</v>
      </c>
      <c r="U429" s="263">
        <f t="shared" si="231"/>
        <v>2326.7999999999993</v>
      </c>
      <c r="W429" s="264">
        <f t="shared" si="232"/>
        <v>4</v>
      </c>
      <c r="X429" s="264">
        <f t="shared" si="233"/>
        <v>4</v>
      </c>
      <c r="Y429" s="264">
        <f t="shared" si="234"/>
        <v>4</v>
      </c>
      <c r="Z429" s="264">
        <f t="shared" si="235"/>
        <v>4.6754643206256095</v>
      </c>
      <c r="AA429" s="264">
        <f t="shared" si="236"/>
        <v>4.6754643206256095</v>
      </c>
      <c r="AB429" s="264">
        <f t="shared" si="237"/>
        <v>4.6754643206256095</v>
      </c>
      <c r="AC429" s="264">
        <f t="shared" si="238"/>
        <v>4.6754643206256095</v>
      </c>
      <c r="AD429" s="264">
        <f t="shared" si="239"/>
        <v>4.6754643206256095</v>
      </c>
      <c r="AE429" s="264">
        <f t="shared" si="240"/>
        <v>4.6754643206256095</v>
      </c>
      <c r="AF429" s="264">
        <f t="shared" si="241"/>
        <v>4</v>
      </c>
      <c r="AG429" s="264">
        <f t="shared" si="242"/>
        <v>4</v>
      </c>
      <c r="AH429" s="264">
        <f t="shared" si="243"/>
        <v>4</v>
      </c>
      <c r="AI429" s="265">
        <f>+IFERROR(AVERAGE(W429:AH429),0)</f>
        <v>4.3377321603128038</v>
      </c>
      <c r="AJ429" s="266">
        <f t="shared" si="245"/>
        <v>52.052785923753646</v>
      </c>
      <c r="AK429" s="262"/>
      <c r="AN429" s="241">
        <v>0</v>
      </c>
      <c r="AO429" s="240">
        <f t="shared" si="246"/>
        <v>0</v>
      </c>
      <c r="AP429" s="241">
        <v>0</v>
      </c>
      <c r="AQ429" s="240">
        <f t="shared" si="247"/>
        <v>0</v>
      </c>
      <c r="AR429" s="241">
        <v>1</v>
      </c>
      <c r="AS429" s="240">
        <f t="shared" si="248"/>
        <v>4.3377321603128038</v>
      </c>
      <c r="AT429" s="241">
        <v>0</v>
      </c>
      <c r="AU429" s="240">
        <f>+$AI429*AT429</f>
        <v>0</v>
      </c>
    </row>
    <row r="430" spans="1:47" s="45" customFormat="1" ht="15" x14ac:dyDescent="0.25">
      <c r="A430" s="45" t="str">
        <f>"all"&amp;"Roll Off"&amp;C430</f>
        <v>allRoll OffFWPLACE</v>
      </c>
      <c r="B430" s="1" t="str">
        <f>"Vanc"&amp;"Roll Off"&amp;C430</f>
        <v>VancRoll OffFWPLACE</v>
      </c>
      <c r="C430" s="58" t="s">
        <v>1291</v>
      </c>
      <c r="D430" s="58" t="s">
        <v>1292</v>
      </c>
      <c r="E430" s="11">
        <v>40.54</v>
      </c>
      <c r="F430" s="11">
        <v>41.01</v>
      </c>
      <c r="G430" s="11">
        <v>42.73</v>
      </c>
      <c r="H430" s="55"/>
      <c r="I430" s="14">
        <v>0</v>
      </c>
      <c r="J430" s="14">
        <v>0</v>
      </c>
      <c r="K430" s="14">
        <v>0</v>
      </c>
      <c r="L430" s="14">
        <v>40.54</v>
      </c>
      <c r="M430" s="14">
        <v>0</v>
      </c>
      <c r="N430" s="14">
        <v>0</v>
      </c>
      <c r="O430" s="14">
        <v>0</v>
      </c>
      <c r="P430" s="14">
        <v>0</v>
      </c>
      <c r="Q430" s="14">
        <v>0</v>
      </c>
      <c r="R430" s="14">
        <v>0</v>
      </c>
      <c r="S430" s="14">
        <v>0</v>
      </c>
      <c r="T430" s="14">
        <v>0</v>
      </c>
      <c r="U430" s="73">
        <f t="shared" si="231"/>
        <v>40.54</v>
      </c>
      <c r="W430" s="48">
        <f t="shared" si="232"/>
        <v>0</v>
      </c>
      <c r="X430" s="48">
        <f t="shared" si="233"/>
        <v>0</v>
      </c>
      <c r="Y430" s="48">
        <f t="shared" si="234"/>
        <v>0</v>
      </c>
      <c r="Z430" s="48">
        <f t="shared" si="235"/>
        <v>0.98853938063886859</v>
      </c>
      <c r="AA430" s="48">
        <f t="shared" si="236"/>
        <v>0</v>
      </c>
      <c r="AB430" s="48">
        <f t="shared" si="237"/>
        <v>0</v>
      </c>
      <c r="AC430" s="49">
        <f t="shared" si="238"/>
        <v>0</v>
      </c>
      <c r="AD430" s="49">
        <f t="shared" si="239"/>
        <v>0</v>
      </c>
      <c r="AE430" s="49">
        <f t="shared" si="240"/>
        <v>0</v>
      </c>
      <c r="AF430" s="49">
        <f t="shared" si="241"/>
        <v>0</v>
      </c>
      <c r="AG430" s="49">
        <f t="shared" si="242"/>
        <v>0</v>
      </c>
      <c r="AH430" s="49">
        <f t="shared" si="243"/>
        <v>0</v>
      </c>
      <c r="AI430" s="47">
        <f>+IFERROR(AVERAGE(W430:AH430),0)</f>
        <v>8.2378281719905716E-2</v>
      </c>
      <c r="AJ430" s="134">
        <f>SUM(W430:AH430)</f>
        <v>0.98853938063886859</v>
      </c>
      <c r="AK430"/>
      <c r="AN430" s="212">
        <v>0</v>
      </c>
      <c r="AO430" s="25">
        <f t="shared" si="246"/>
        <v>0</v>
      </c>
      <c r="AP430" s="212">
        <v>0</v>
      </c>
      <c r="AQ430" s="25">
        <f t="shared" si="247"/>
        <v>0</v>
      </c>
      <c r="AR430" s="212">
        <v>1</v>
      </c>
      <c r="AS430" s="25">
        <f t="shared" si="248"/>
        <v>8.2378281719905716E-2</v>
      </c>
      <c r="AT430" s="212">
        <v>0</v>
      </c>
      <c r="AU430" s="25">
        <f>+$AI430*AT430</f>
        <v>0</v>
      </c>
    </row>
    <row r="431" spans="1:47" s="45" customFormat="1" ht="15" x14ac:dyDescent="0.25">
      <c r="A431" s="45" t="str">
        <f>"all"&amp;"Roll Off"&amp;C431</f>
        <v>allRoll OffDRPLACE</v>
      </c>
      <c r="B431" s="1" t="str">
        <f>"Vanc"&amp;"Roll Off"&amp;C431</f>
        <v>VancRoll OffDRPLACE</v>
      </c>
      <c r="C431" s="58" t="s">
        <v>627</v>
      </c>
      <c r="D431" s="58" t="s">
        <v>638</v>
      </c>
      <c r="E431" s="203"/>
      <c r="F431" s="203"/>
      <c r="G431" s="203"/>
      <c r="H431" s="55"/>
      <c r="I431" s="14">
        <v>0</v>
      </c>
      <c r="J431" s="14">
        <v>0</v>
      </c>
      <c r="K431" s="14">
        <v>0</v>
      </c>
      <c r="L431" s="14">
        <v>0</v>
      </c>
      <c r="M431" s="14">
        <v>0</v>
      </c>
      <c r="N431" s="14">
        <v>0</v>
      </c>
      <c r="O431" s="14">
        <v>0</v>
      </c>
      <c r="P431" s="14">
        <v>0</v>
      </c>
      <c r="Q431" s="14">
        <v>0</v>
      </c>
      <c r="R431" s="14">
        <v>0</v>
      </c>
      <c r="S431" s="14">
        <v>0</v>
      </c>
      <c r="T431" s="14">
        <v>46.17</v>
      </c>
      <c r="U431" s="73">
        <f>SUM(I431:T431)</f>
        <v>46.17</v>
      </c>
      <c r="W431" s="48">
        <f t="shared" si="232"/>
        <v>0</v>
      </c>
      <c r="X431" s="48">
        <f t="shared" si="233"/>
        <v>0</v>
      </c>
      <c r="Y431" s="48">
        <f t="shared" si="234"/>
        <v>0</v>
      </c>
      <c r="Z431" s="48">
        <f t="shared" si="235"/>
        <v>0</v>
      </c>
      <c r="AA431" s="48">
        <f t="shared" si="236"/>
        <v>0</v>
      </c>
      <c r="AB431" s="48">
        <f t="shared" si="237"/>
        <v>0</v>
      </c>
      <c r="AC431" s="49">
        <f t="shared" si="238"/>
        <v>0</v>
      </c>
      <c r="AD431" s="49">
        <f t="shared" si="239"/>
        <v>0</v>
      </c>
      <c r="AE431" s="49">
        <f t="shared" si="240"/>
        <v>0</v>
      </c>
      <c r="AF431" s="49">
        <f t="shared" si="241"/>
        <v>0</v>
      </c>
      <c r="AG431" s="49">
        <f t="shared" si="242"/>
        <v>0</v>
      </c>
      <c r="AH431" s="49">
        <f t="shared" si="243"/>
        <v>0</v>
      </c>
      <c r="AI431" s="47">
        <f>+IFERROR(AVERAGE(W431:AH431),0)</f>
        <v>0</v>
      </c>
      <c r="AJ431" s="134">
        <f>SUM(W431:AH431)</f>
        <v>0</v>
      </c>
      <c r="AK431"/>
      <c r="AN431" s="212">
        <v>0</v>
      </c>
      <c r="AO431" s="25">
        <f t="shared" si="246"/>
        <v>0</v>
      </c>
      <c r="AP431" s="212">
        <v>0</v>
      </c>
      <c r="AQ431" s="25">
        <f t="shared" si="247"/>
        <v>0</v>
      </c>
      <c r="AR431" s="212">
        <v>1</v>
      </c>
      <c r="AS431" s="25">
        <f t="shared" si="248"/>
        <v>0</v>
      </c>
      <c r="AT431" s="212">
        <v>0</v>
      </c>
      <c r="AU431" s="25">
        <f>+$AI431*AT431</f>
        <v>0</v>
      </c>
    </row>
    <row r="432" spans="1:47" s="45" customFormat="1" ht="15" x14ac:dyDescent="0.25">
      <c r="A432" s="45" t="str">
        <f t="shared" si="250"/>
        <v>allRoll OffDRTARP</v>
      </c>
      <c r="B432" s="1" t="str">
        <f t="shared" si="230"/>
        <v>VancRoll OffDRTARP</v>
      </c>
      <c r="C432" s="58" t="s">
        <v>628</v>
      </c>
      <c r="D432" s="58" t="s">
        <v>639</v>
      </c>
      <c r="E432" s="11">
        <v>0</v>
      </c>
      <c r="F432" s="11">
        <v>0</v>
      </c>
      <c r="G432" s="11">
        <v>0</v>
      </c>
      <c r="H432" s="55"/>
      <c r="I432" s="14">
        <v>0</v>
      </c>
      <c r="J432" s="14">
        <v>0</v>
      </c>
      <c r="K432" s="14">
        <v>0</v>
      </c>
      <c r="L432" s="14">
        <v>0</v>
      </c>
      <c r="M432" s="14">
        <v>0</v>
      </c>
      <c r="N432" s="14">
        <v>0</v>
      </c>
      <c r="O432" s="14">
        <v>0</v>
      </c>
      <c r="P432" s="14">
        <v>0</v>
      </c>
      <c r="Q432" s="14">
        <v>0</v>
      </c>
      <c r="R432" s="14">
        <v>0</v>
      </c>
      <c r="S432" s="14">
        <v>0</v>
      </c>
      <c r="T432" s="14">
        <v>0</v>
      </c>
      <c r="U432" s="73">
        <f t="shared" si="231"/>
        <v>0</v>
      </c>
      <c r="W432" s="48">
        <f t="shared" si="232"/>
        <v>0</v>
      </c>
      <c r="X432" s="48">
        <f t="shared" si="233"/>
        <v>0</v>
      </c>
      <c r="Y432" s="48">
        <f t="shared" si="234"/>
        <v>0</v>
      </c>
      <c r="Z432" s="48">
        <f t="shared" si="235"/>
        <v>0</v>
      </c>
      <c r="AA432" s="48">
        <f t="shared" si="236"/>
        <v>0</v>
      </c>
      <c r="AB432" s="48">
        <f t="shared" si="237"/>
        <v>0</v>
      </c>
      <c r="AC432" s="48">
        <f t="shared" si="238"/>
        <v>0</v>
      </c>
      <c r="AD432" s="48">
        <f t="shared" si="239"/>
        <v>0</v>
      </c>
      <c r="AE432" s="48">
        <f t="shared" si="240"/>
        <v>0</v>
      </c>
      <c r="AF432" s="48">
        <f t="shared" si="241"/>
        <v>0</v>
      </c>
      <c r="AG432" s="48">
        <f t="shared" si="242"/>
        <v>0</v>
      </c>
      <c r="AH432" s="48">
        <f t="shared" si="243"/>
        <v>0</v>
      </c>
      <c r="AI432" s="47">
        <f>+IFERROR(AVERAGE(W432:AH432),0)</f>
        <v>0</v>
      </c>
      <c r="AJ432" s="134">
        <f>SUM(W432:AH432)</f>
        <v>0</v>
      </c>
      <c r="AK432"/>
    </row>
    <row r="433" spans="2:47" s="45" customFormat="1" ht="15" x14ac:dyDescent="0.25">
      <c r="C433" s="40"/>
      <c r="D433" s="40"/>
      <c r="E433" s="55"/>
      <c r="F433" s="55"/>
      <c r="G433" s="55"/>
      <c r="H433" s="55"/>
      <c r="I433" s="46"/>
      <c r="J433" s="81"/>
      <c r="K433" s="48"/>
      <c r="L433" s="49"/>
      <c r="M433" s="49"/>
      <c r="P433" s="46"/>
      <c r="AJ433"/>
      <c r="AK433"/>
    </row>
    <row r="434" spans="2:47" s="45" customFormat="1" ht="15" x14ac:dyDescent="0.25">
      <c r="C434" s="40"/>
      <c r="D434" s="52" t="s">
        <v>43</v>
      </c>
      <c r="E434" s="55"/>
      <c r="F434" s="55"/>
      <c r="G434" s="55"/>
      <c r="H434" s="55"/>
      <c r="I434" s="97">
        <f t="shared" ref="I434:U434" si="251">SUM(I421:I433)</f>
        <v>37338.39</v>
      </c>
      <c r="J434" s="97">
        <f t="shared" si="251"/>
        <v>42371.19</v>
      </c>
      <c r="K434" s="97">
        <f t="shared" si="251"/>
        <v>43435.07</v>
      </c>
      <c r="L434" s="97">
        <f t="shared" si="251"/>
        <v>42316.890000000007</v>
      </c>
      <c r="M434" s="97">
        <f t="shared" si="251"/>
        <v>50162.67</v>
      </c>
      <c r="N434" s="97">
        <f t="shared" si="251"/>
        <v>44883.700000000004</v>
      </c>
      <c r="O434" s="97">
        <f t="shared" si="251"/>
        <v>41837.32</v>
      </c>
      <c r="P434" s="97">
        <f t="shared" si="251"/>
        <v>38048.270000000004</v>
      </c>
      <c r="Q434" s="97">
        <f t="shared" si="251"/>
        <v>38168.589999999997</v>
      </c>
      <c r="R434" s="97">
        <f t="shared" si="251"/>
        <v>31865.690000000006</v>
      </c>
      <c r="S434" s="97">
        <f t="shared" si="251"/>
        <v>55954.939999999995</v>
      </c>
      <c r="T434" s="97">
        <f t="shared" si="251"/>
        <v>46229.789999999994</v>
      </c>
      <c r="U434" s="97">
        <f t="shared" si="251"/>
        <v>512612.50999999995</v>
      </c>
      <c r="W434" s="185">
        <f>+SUM(W421:W424,W428:W429)</f>
        <v>164.79935053055254</v>
      </c>
      <c r="X434" s="185">
        <f t="shared" ref="X434:AJ434" si="252">+SUM(X421:X424,X428:X429)</f>
        <v>185.58218990120747</v>
      </c>
      <c r="Y434" s="185">
        <f t="shared" si="252"/>
        <v>191.56599890230518</v>
      </c>
      <c r="Z434" s="185">
        <f t="shared" si="252"/>
        <v>164.50575739586512</v>
      </c>
      <c r="AA434" s="185">
        <f t="shared" si="252"/>
        <v>196.72707763504462</v>
      </c>
      <c r="AB434" s="185">
        <f t="shared" si="252"/>
        <v>175.33880693453381</v>
      </c>
      <c r="AC434" s="185">
        <f t="shared" si="252"/>
        <v>165.21113893469217</v>
      </c>
      <c r="AD434" s="185">
        <f t="shared" si="252"/>
        <v>151.65861052222635</v>
      </c>
      <c r="AE434" s="185">
        <f t="shared" si="252"/>
        <v>150.68324125916848</v>
      </c>
      <c r="AF434" s="185">
        <f t="shared" si="252"/>
        <v>122.52639290381342</v>
      </c>
      <c r="AG434" s="185">
        <f t="shared" si="252"/>
        <v>218.88591454480655</v>
      </c>
      <c r="AH434" s="185">
        <f t="shared" si="252"/>
        <v>180.70205520136221</v>
      </c>
      <c r="AI434" s="185">
        <f>+SUM(AI421:AI424,AI428:AI429)</f>
        <v>172.3488778887982</v>
      </c>
      <c r="AJ434" s="185">
        <f t="shared" si="252"/>
        <v>2068.1865346655782</v>
      </c>
      <c r="AK434"/>
      <c r="AO434" s="196">
        <f>SUM(AO421:AO429)</f>
        <v>0</v>
      </c>
      <c r="AQ434" s="196">
        <f>SUM(AQ421:AQ429)</f>
        <v>0</v>
      </c>
      <c r="AS434" s="196">
        <f>SUM(AS421:AS429)</f>
        <v>189.62156651760813</v>
      </c>
      <c r="AU434" s="196">
        <f>SUM(AU421:AU429)</f>
        <v>0</v>
      </c>
    </row>
    <row r="435" spans="2:47" ht="15" x14ac:dyDescent="0.25">
      <c r="C435" s="45"/>
      <c r="D435" s="45"/>
      <c r="AJ435"/>
      <c r="AK435"/>
    </row>
    <row r="436" spans="2:47" ht="15" x14ac:dyDescent="0.25">
      <c r="C436" s="62" t="s">
        <v>16</v>
      </c>
      <c r="D436" s="62" t="s">
        <v>16</v>
      </c>
      <c r="AJ436"/>
      <c r="AK436"/>
    </row>
    <row r="437" spans="2:47" ht="15" x14ac:dyDescent="0.25">
      <c r="B437" s="1" t="str">
        <f t="shared" ref="B437:B442" si="253">"Vanc"&amp;"Roll Off"&amp;C437</f>
        <v>VancRoll OffFOOD</v>
      </c>
      <c r="C437" s="58" t="s">
        <v>918</v>
      </c>
      <c r="D437" s="58" t="s">
        <v>920</v>
      </c>
      <c r="E437" s="11">
        <v>92.53</v>
      </c>
      <c r="F437" s="11">
        <v>92.53</v>
      </c>
      <c r="G437" s="11">
        <v>97.5</v>
      </c>
      <c r="I437" s="14">
        <v>2012.54</v>
      </c>
      <c r="J437" s="14">
        <v>2380.7800000000002</v>
      </c>
      <c r="K437" s="14">
        <v>2390.9899999999998</v>
      </c>
      <c r="L437" s="14">
        <v>3023.88</v>
      </c>
      <c r="M437" s="14">
        <v>2284.59</v>
      </c>
      <c r="N437" s="14">
        <v>2278.09</v>
      </c>
      <c r="O437" s="14">
        <v>2536.2600000000002</v>
      </c>
      <c r="P437" s="14">
        <v>2486.2800000000002</v>
      </c>
      <c r="Q437" s="14">
        <v>2264.21</v>
      </c>
      <c r="R437" s="14">
        <v>2650.23</v>
      </c>
      <c r="S437" s="14">
        <v>1985.13</v>
      </c>
      <c r="T437" s="14">
        <v>1885.69</v>
      </c>
      <c r="U437" s="73">
        <f t="shared" ref="U437:U446" si="254">SUM(I437:T437)</f>
        <v>28178.669999999995</v>
      </c>
      <c r="AJ437"/>
      <c r="AK437"/>
    </row>
    <row r="438" spans="2:47" ht="15" x14ac:dyDescent="0.25">
      <c r="B438" s="1" t="str">
        <f t="shared" si="253"/>
        <v>VancRoll OffDISP</v>
      </c>
      <c r="C438" s="58" t="s">
        <v>394</v>
      </c>
      <c r="D438" s="58" t="s">
        <v>404</v>
      </c>
      <c r="E438" s="11">
        <v>94.46</v>
      </c>
      <c r="F438" s="11">
        <v>94.46</v>
      </c>
      <c r="G438" s="11">
        <v>99.43</v>
      </c>
      <c r="I438" s="14">
        <v>318816.84999999998</v>
      </c>
      <c r="J438" s="14">
        <v>424190.84</v>
      </c>
      <c r="K438" s="14">
        <v>374144.77</v>
      </c>
      <c r="L438" s="14">
        <v>333748.95</v>
      </c>
      <c r="M438" s="14">
        <v>364746.94</v>
      </c>
      <c r="N438" s="14">
        <v>357129.81</v>
      </c>
      <c r="O438" s="14">
        <v>387244.47</v>
      </c>
      <c r="P438" s="14">
        <v>373031.21</v>
      </c>
      <c r="Q438" s="14">
        <v>339742.44</v>
      </c>
      <c r="R438" s="14">
        <v>359453.56</v>
      </c>
      <c r="S438" s="14">
        <v>401639.66</v>
      </c>
      <c r="T438" s="14">
        <v>373463.45</v>
      </c>
      <c r="U438" s="73">
        <f t="shared" si="254"/>
        <v>4407352.95</v>
      </c>
      <c r="AJ438"/>
      <c r="AK438"/>
    </row>
    <row r="439" spans="2:47" ht="15" x14ac:dyDescent="0.25">
      <c r="B439" s="1" t="str">
        <f t="shared" si="253"/>
        <v>VancRoll OffPTRAN</v>
      </c>
      <c r="C439" s="58" t="s">
        <v>919</v>
      </c>
      <c r="D439" s="58" t="s">
        <v>921</v>
      </c>
      <c r="E439" s="11">
        <v>10</v>
      </c>
      <c r="F439" s="11">
        <v>10</v>
      </c>
      <c r="G439" s="11">
        <v>10</v>
      </c>
      <c r="I439" s="14">
        <v>290</v>
      </c>
      <c r="J439" s="14">
        <v>230</v>
      </c>
      <c r="K439" s="14">
        <v>200</v>
      </c>
      <c r="L439" s="14">
        <v>220</v>
      </c>
      <c r="M439" s="14">
        <v>200</v>
      </c>
      <c r="N439" s="14">
        <v>210</v>
      </c>
      <c r="O439" s="14">
        <v>170</v>
      </c>
      <c r="P439" s="14">
        <v>150</v>
      </c>
      <c r="Q439" s="14">
        <v>170</v>
      </c>
      <c r="R439" s="14">
        <v>170</v>
      </c>
      <c r="S439" s="14">
        <v>150</v>
      </c>
      <c r="T439" s="14">
        <v>140</v>
      </c>
      <c r="U439" s="73">
        <f t="shared" si="254"/>
        <v>2300</v>
      </c>
      <c r="AJ439"/>
      <c r="AK439"/>
    </row>
    <row r="440" spans="2:47" ht="15" x14ac:dyDescent="0.25">
      <c r="B440" s="1" t="str">
        <f t="shared" si="253"/>
        <v>VancRoll OffFEE</v>
      </c>
      <c r="C440" s="58" t="s">
        <v>395</v>
      </c>
      <c r="D440" s="58" t="s">
        <v>405</v>
      </c>
      <c r="E440" s="11">
        <v>10</v>
      </c>
      <c r="F440" s="11">
        <v>10</v>
      </c>
      <c r="G440" s="11">
        <v>10</v>
      </c>
      <c r="I440" s="14">
        <v>9780</v>
      </c>
      <c r="J440" s="14">
        <v>12800</v>
      </c>
      <c r="K440" s="14">
        <v>12340</v>
      </c>
      <c r="L440" s="14">
        <v>11320</v>
      </c>
      <c r="M440" s="14">
        <v>12320</v>
      </c>
      <c r="N440" s="14">
        <v>11590</v>
      </c>
      <c r="O440" s="14">
        <v>11760</v>
      </c>
      <c r="P440" s="14">
        <v>11110</v>
      </c>
      <c r="Q440" s="14">
        <v>10070</v>
      </c>
      <c r="R440" s="14">
        <v>9810</v>
      </c>
      <c r="S440" s="14">
        <v>11400</v>
      </c>
      <c r="T440" s="14">
        <v>11310</v>
      </c>
      <c r="U440" s="73">
        <f t="shared" si="254"/>
        <v>135610</v>
      </c>
      <c r="AJ440"/>
      <c r="AK440"/>
    </row>
    <row r="441" spans="2:47" ht="15" x14ac:dyDescent="0.25">
      <c r="B441" s="1" t="str">
        <f t="shared" si="253"/>
        <v>VancRoll OffPTON</v>
      </c>
      <c r="C441" s="58" t="s">
        <v>640</v>
      </c>
      <c r="D441" s="58" t="s">
        <v>641</v>
      </c>
      <c r="E441" s="11">
        <v>0</v>
      </c>
      <c r="F441" s="11">
        <v>0</v>
      </c>
      <c r="G441" s="11">
        <v>0</v>
      </c>
      <c r="I441" s="14">
        <v>120</v>
      </c>
      <c r="J441" s="14">
        <v>60</v>
      </c>
      <c r="K441" s="14">
        <v>0</v>
      </c>
      <c r="L441" s="14">
        <v>1310.78</v>
      </c>
      <c r="M441" s="14">
        <v>0</v>
      </c>
      <c r="N441" s="14">
        <v>1813.23</v>
      </c>
      <c r="O441" s="14">
        <v>0</v>
      </c>
      <c r="P441" s="14">
        <v>575.80999999999995</v>
      </c>
      <c r="Q441" s="14">
        <v>0</v>
      </c>
      <c r="R441" s="14">
        <v>0</v>
      </c>
      <c r="S441" s="14">
        <v>1241.2</v>
      </c>
      <c r="T441" s="14">
        <v>471.33</v>
      </c>
      <c r="U441" s="73">
        <f t="shared" si="254"/>
        <v>5592.35</v>
      </c>
      <c r="AJ441"/>
      <c r="AK441"/>
    </row>
    <row r="442" spans="2:47" ht="15" x14ac:dyDescent="0.25">
      <c r="B442" s="1" t="str">
        <f t="shared" si="253"/>
        <v>VancRoll OffDRMIX</v>
      </c>
      <c r="C442" s="58" t="s">
        <v>723</v>
      </c>
      <c r="D442" s="58" t="s">
        <v>724</v>
      </c>
      <c r="E442" s="11">
        <v>3</v>
      </c>
      <c r="F442" s="11">
        <v>3</v>
      </c>
      <c r="G442" s="11">
        <v>3</v>
      </c>
      <c r="I442" s="14">
        <v>1641.86</v>
      </c>
      <c r="J442" s="14">
        <v>2076.44</v>
      </c>
      <c r="K442" s="14">
        <v>2358.69</v>
      </c>
      <c r="L442" s="14">
        <v>2835</v>
      </c>
      <c r="M442" s="14">
        <v>2167.66</v>
      </c>
      <c r="N442" s="14">
        <v>2203.64</v>
      </c>
      <c r="O442" s="14">
        <v>2658.18</v>
      </c>
      <c r="P442" s="14">
        <v>2049.2600000000002</v>
      </c>
      <c r="Q442" s="14">
        <v>1672.76</v>
      </c>
      <c r="R442" s="14">
        <v>1090.3699999999999</v>
      </c>
      <c r="S442" s="14">
        <v>928.5</v>
      </c>
      <c r="T442" s="14">
        <v>910.35</v>
      </c>
      <c r="U442" s="73">
        <f t="shared" si="254"/>
        <v>22592.709999999995</v>
      </c>
      <c r="AJ442"/>
      <c r="AK442"/>
    </row>
    <row r="443" spans="2:47" ht="15" x14ac:dyDescent="0.25">
      <c r="B443" s="1" t="str">
        <f>"Vanc"&amp;"Roll Off"&amp;C443</f>
        <v>VancRoll OffDRDEMO</v>
      </c>
      <c r="C443" s="58" t="s">
        <v>1130</v>
      </c>
      <c r="D443" s="58" t="s">
        <v>1131</v>
      </c>
      <c r="E443" s="11">
        <v>75.2</v>
      </c>
      <c r="F443" s="11">
        <v>75.2</v>
      </c>
      <c r="G443" s="11">
        <v>75.2</v>
      </c>
      <c r="I443" s="14">
        <v>3601.11</v>
      </c>
      <c r="J443" s="14">
        <v>2623.73</v>
      </c>
      <c r="K443" s="14">
        <v>3210.33</v>
      </c>
      <c r="L443" s="14">
        <v>1662.98</v>
      </c>
      <c r="M443" s="14">
        <v>944.12</v>
      </c>
      <c r="N443" s="14">
        <v>1524.65</v>
      </c>
      <c r="O443" s="14">
        <v>3065.18</v>
      </c>
      <c r="P443" s="14">
        <v>1324.33</v>
      </c>
      <c r="Q443" s="14">
        <v>1696.1</v>
      </c>
      <c r="R443" s="14">
        <v>1287.3</v>
      </c>
      <c r="S443" s="14">
        <v>3235.6</v>
      </c>
      <c r="T443" s="14">
        <v>2001.23</v>
      </c>
      <c r="U443" s="73">
        <f t="shared" si="254"/>
        <v>26176.659999999996</v>
      </c>
      <c r="AJ443"/>
      <c r="AK443"/>
    </row>
    <row r="444" spans="2:47" ht="15" x14ac:dyDescent="0.25">
      <c r="B444" s="1" t="str">
        <f>"Vanc"&amp;"Roll Off"&amp;C444</f>
        <v>VancRoll OffDRWOOD</v>
      </c>
      <c r="C444" s="58" t="s">
        <v>1134</v>
      </c>
      <c r="D444" s="58" t="s">
        <v>1135</v>
      </c>
      <c r="E444" s="11">
        <v>36.51</v>
      </c>
      <c r="F444" s="11">
        <v>36.51</v>
      </c>
      <c r="G444" s="11">
        <v>36.51</v>
      </c>
      <c r="I444" s="14">
        <v>5841.16</v>
      </c>
      <c r="J444" s="14">
        <v>6434.96</v>
      </c>
      <c r="K444" s="14">
        <v>6753.22</v>
      </c>
      <c r="L444" s="14">
        <v>4781.07</v>
      </c>
      <c r="M444" s="14">
        <v>7364.99</v>
      </c>
      <c r="N444" s="14">
        <v>4477.25</v>
      </c>
      <c r="O444" s="14">
        <v>5651.34</v>
      </c>
      <c r="P444" s="14">
        <v>4199.8900000000003</v>
      </c>
      <c r="Q444" s="14">
        <v>5136.6400000000003</v>
      </c>
      <c r="R444" s="14">
        <v>4682.8500000000004</v>
      </c>
      <c r="S444" s="14">
        <v>10388.32</v>
      </c>
      <c r="T444" s="14">
        <v>8528.0499999999993</v>
      </c>
      <c r="U444" s="73">
        <f t="shared" si="254"/>
        <v>74239.740000000005</v>
      </c>
      <c r="AJ444"/>
      <c r="AK444"/>
    </row>
    <row r="445" spans="2:47" ht="15" x14ac:dyDescent="0.25">
      <c r="B445" s="1" t="str">
        <f>"Vanc"&amp;"Roll Off"&amp;C445</f>
        <v>VancRoll OffYDDISP</v>
      </c>
      <c r="C445" s="58" t="s">
        <v>1136</v>
      </c>
      <c r="D445" s="58" t="s">
        <v>1137</v>
      </c>
      <c r="E445" s="11">
        <v>32.340000000000003</v>
      </c>
      <c r="F445" s="11">
        <v>32.340000000000003</v>
      </c>
      <c r="G445" s="11">
        <v>32.340000000000003</v>
      </c>
      <c r="I445" s="14">
        <v>1631.83</v>
      </c>
      <c r="J445" s="14">
        <v>4330.2</v>
      </c>
      <c r="K445" s="14">
        <v>5753.83</v>
      </c>
      <c r="L445" s="14">
        <v>3722.8</v>
      </c>
      <c r="M445" s="14">
        <v>5494.79</v>
      </c>
      <c r="N445" s="14">
        <v>5213.13</v>
      </c>
      <c r="O445" s="14">
        <v>3039.83</v>
      </c>
      <c r="P445" s="14">
        <v>4639.3999999999996</v>
      </c>
      <c r="Q445" s="14">
        <v>5619.8</v>
      </c>
      <c r="R445" s="14">
        <v>2599.04</v>
      </c>
      <c r="S445" s="14">
        <v>4976.87</v>
      </c>
      <c r="T445" s="14">
        <v>3641.83</v>
      </c>
      <c r="U445" s="73">
        <f t="shared" si="254"/>
        <v>50663.350000000013</v>
      </c>
      <c r="AJ445"/>
      <c r="AK445"/>
    </row>
    <row r="446" spans="2:47" ht="15" x14ac:dyDescent="0.25">
      <c r="B446" s="1" t="str">
        <f>"Vanc"&amp;"Roll Off"&amp;C446</f>
        <v>VancRoll OffDRCONCRETE</v>
      </c>
      <c r="C446" s="58" t="s">
        <v>1132</v>
      </c>
      <c r="D446" s="58" t="s">
        <v>1133</v>
      </c>
      <c r="E446" s="11">
        <v>11</v>
      </c>
      <c r="F446" s="11">
        <v>11</v>
      </c>
      <c r="G446" s="11">
        <v>11</v>
      </c>
      <c r="I446" s="14">
        <v>1415.11</v>
      </c>
      <c r="J446" s="14">
        <v>1391</v>
      </c>
      <c r="K446" s="14">
        <v>1727.96</v>
      </c>
      <c r="L446" s="14">
        <v>1296.72</v>
      </c>
      <c r="M446" s="14">
        <v>1729</v>
      </c>
      <c r="N446" s="14">
        <v>1326</v>
      </c>
      <c r="O446" s="14">
        <v>901.4</v>
      </c>
      <c r="P446" s="14">
        <v>1828</v>
      </c>
      <c r="Q446" s="14">
        <v>1001</v>
      </c>
      <c r="R446" s="14">
        <v>2034.7</v>
      </c>
      <c r="S446" s="14">
        <v>3734.83</v>
      </c>
      <c r="T446" s="14">
        <v>169</v>
      </c>
      <c r="U446" s="73">
        <f t="shared" si="254"/>
        <v>18554.72</v>
      </c>
      <c r="AJ446"/>
      <c r="AK446"/>
    </row>
    <row r="447" spans="2:47" ht="15" x14ac:dyDescent="0.25">
      <c r="U447" s="81"/>
      <c r="AJ447"/>
      <c r="AK447"/>
    </row>
    <row r="448" spans="2:47" ht="15" x14ac:dyDescent="0.25">
      <c r="C448" s="45"/>
      <c r="D448" s="52" t="s">
        <v>17</v>
      </c>
      <c r="I448" s="97">
        <f t="shared" ref="I448:U448" si="255">SUM(I437:I447)</f>
        <v>345150.4599999999</v>
      </c>
      <c r="J448" s="97">
        <f t="shared" si="255"/>
        <v>456517.95000000007</v>
      </c>
      <c r="K448" s="97">
        <f t="shared" si="255"/>
        <v>408879.79000000004</v>
      </c>
      <c r="L448" s="97">
        <f t="shared" si="255"/>
        <v>363922.18</v>
      </c>
      <c r="M448" s="97">
        <f t="shared" si="255"/>
        <v>397252.08999999997</v>
      </c>
      <c r="N448" s="97">
        <f t="shared" si="255"/>
        <v>387765.80000000005</v>
      </c>
      <c r="O448" s="97">
        <f t="shared" si="255"/>
        <v>417026.66000000003</v>
      </c>
      <c r="P448" s="97">
        <f t="shared" si="255"/>
        <v>401394.18000000011</v>
      </c>
      <c r="Q448" s="97">
        <f t="shared" si="255"/>
        <v>367372.95</v>
      </c>
      <c r="R448" s="97">
        <f t="shared" si="255"/>
        <v>383778.04999999993</v>
      </c>
      <c r="S448" s="97">
        <f t="shared" si="255"/>
        <v>439680.11</v>
      </c>
      <c r="T448" s="97">
        <f t="shared" si="255"/>
        <v>402520.93</v>
      </c>
      <c r="U448" s="97">
        <f t="shared" si="255"/>
        <v>4771261.1499999994</v>
      </c>
      <c r="AJ448"/>
      <c r="AK448"/>
    </row>
    <row r="449" spans="2:49" ht="15" x14ac:dyDescent="0.25">
      <c r="C449" s="45"/>
      <c r="D449" s="52"/>
      <c r="I449" s="98"/>
      <c r="J449" s="98"/>
      <c r="K449" s="79"/>
      <c r="L449" s="79"/>
      <c r="M449" s="79"/>
      <c r="N449" s="79"/>
      <c r="O449" s="79"/>
      <c r="P449" s="79"/>
      <c r="Q449" s="79"/>
      <c r="R449" s="79"/>
      <c r="S449" s="79"/>
      <c r="T449" s="79"/>
      <c r="U449" s="79"/>
      <c r="AJ449"/>
      <c r="AK449"/>
    </row>
    <row r="450" spans="2:49" s="45" customFormat="1" ht="15" x14ac:dyDescent="0.25">
      <c r="C450" s="71" t="s">
        <v>18</v>
      </c>
      <c r="D450" s="71" t="s">
        <v>18</v>
      </c>
      <c r="E450" s="55"/>
      <c r="F450" s="55"/>
      <c r="G450" s="55"/>
      <c r="H450" s="55"/>
      <c r="I450" s="46"/>
      <c r="J450" s="46" t="str">
        <f>IF(H450="","",(#REF!/H450)+(#REF!/#REF!))</f>
        <v/>
      </c>
      <c r="K450" s="49" t="str">
        <f>IF(H450="","",J450/12)</f>
        <v/>
      </c>
      <c r="U450" s="73"/>
      <c r="W450" s="48"/>
      <c r="X450" s="48"/>
      <c r="Y450" s="48"/>
      <c r="Z450" s="48"/>
      <c r="AA450" s="48"/>
      <c r="AB450" s="48"/>
      <c r="AC450" s="48"/>
      <c r="AD450" s="48"/>
      <c r="AE450" s="48"/>
      <c r="AF450" s="48"/>
      <c r="AG450" s="48"/>
      <c r="AH450" s="48"/>
      <c r="AI450" s="40"/>
      <c r="AJ450"/>
      <c r="AK450"/>
    </row>
    <row r="451" spans="2:49" s="45" customFormat="1" ht="15" x14ac:dyDescent="0.25">
      <c r="B451" s="1" t="str">
        <f>"Vanc"&amp;"Accounting"&amp;C451</f>
        <v>VancAccountingFINCHG</v>
      </c>
      <c r="C451" s="58" t="s">
        <v>19</v>
      </c>
      <c r="D451" s="58" t="s">
        <v>20</v>
      </c>
      <c r="E451" s="11">
        <v>0</v>
      </c>
      <c r="F451" s="11">
        <v>0</v>
      </c>
      <c r="G451" s="11">
        <v>0</v>
      </c>
      <c r="H451" s="55"/>
      <c r="I451" s="14">
        <v>512.84999999999991</v>
      </c>
      <c r="J451" s="14">
        <v>95.400000000000091</v>
      </c>
      <c r="K451" s="14">
        <v>550.21</v>
      </c>
      <c r="L451" s="14">
        <v>3652.8100000000004</v>
      </c>
      <c r="M451" s="14">
        <v>432.22</v>
      </c>
      <c r="N451" s="14">
        <v>3799.6</v>
      </c>
      <c r="O451" s="14">
        <v>654.04999999999995</v>
      </c>
      <c r="P451" s="14">
        <v>3135.09</v>
      </c>
      <c r="Q451" s="14">
        <v>711.69999999999993</v>
      </c>
      <c r="R451" s="14">
        <v>3443.09</v>
      </c>
      <c r="S451" s="14">
        <v>733.3599999999999</v>
      </c>
      <c r="T451" s="14">
        <v>3348.48</v>
      </c>
      <c r="U451" s="73">
        <f>SUM(I451:T451)</f>
        <v>21068.86</v>
      </c>
      <c r="W451" s="48"/>
      <c r="X451" s="48"/>
      <c r="Y451" s="48"/>
      <c r="Z451" s="48"/>
      <c r="AA451" s="48"/>
      <c r="AB451" s="48"/>
      <c r="AC451" s="48"/>
      <c r="AD451" s="48"/>
      <c r="AE451" s="48"/>
      <c r="AF451" s="48"/>
      <c r="AG451" s="48"/>
      <c r="AH451" s="48"/>
      <c r="AI451" s="40"/>
      <c r="AJ451"/>
      <c r="AK451"/>
    </row>
    <row r="452" spans="2:49" s="45" customFormat="1" ht="15" x14ac:dyDescent="0.25">
      <c r="C452" s="58"/>
      <c r="D452" s="58"/>
      <c r="E452" s="55"/>
      <c r="F452" s="55"/>
      <c r="G452" s="55"/>
      <c r="H452" s="55"/>
      <c r="I452" s="46"/>
      <c r="J452" s="46"/>
      <c r="K452" s="49"/>
      <c r="U452" s="73"/>
      <c r="W452" s="48"/>
      <c r="X452" s="48"/>
      <c r="Y452" s="48"/>
      <c r="Z452" s="48"/>
      <c r="AA452" s="48"/>
      <c r="AB452" s="48"/>
      <c r="AC452" s="48"/>
      <c r="AD452" s="48"/>
      <c r="AE452" s="48"/>
      <c r="AF452" s="48"/>
      <c r="AG452" s="48"/>
      <c r="AH452" s="48"/>
      <c r="AI452" s="40"/>
      <c r="AJ452"/>
      <c r="AK452"/>
    </row>
    <row r="453" spans="2:49" s="45" customFormat="1" ht="15" x14ac:dyDescent="0.25">
      <c r="D453" s="52" t="s">
        <v>24</v>
      </c>
      <c r="E453" s="55"/>
      <c r="F453" s="55"/>
      <c r="G453" s="55"/>
      <c r="H453" s="55"/>
      <c r="I453" s="97">
        <f t="shared" ref="I453:U453" si="256">SUM(I451:I452)</f>
        <v>512.84999999999991</v>
      </c>
      <c r="J453" s="97">
        <f t="shared" si="256"/>
        <v>95.400000000000091</v>
      </c>
      <c r="K453" s="97">
        <f t="shared" si="256"/>
        <v>550.21</v>
      </c>
      <c r="L453" s="97">
        <f t="shared" si="256"/>
        <v>3652.8100000000004</v>
      </c>
      <c r="M453" s="97">
        <f t="shared" si="256"/>
        <v>432.22</v>
      </c>
      <c r="N453" s="97">
        <f t="shared" si="256"/>
        <v>3799.6</v>
      </c>
      <c r="O453" s="97">
        <f t="shared" si="256"/>
        <v>654.04999999999995</v>
      </c>
      <c r="P453" s="97">
        <f t="shared" si="256"/>
        <v>3135.09</v>
      </c>
      <c r="Q453" s="97">
        <f t="shared" si="256"/>
        <v>711.69999999999993</v>
      </c>
      <c r="R453" s="97">
        <f t="shared" si="256"/>
        <v>3443.09</v>
      </c>
      <c r="S453" s="97">
        <f t="shared" si="256"/>
        <v>733.3599999999999</v>
      </c>
      <c r="T453" s="97">
        <f t="shared" si="256"/>
        <v>3348.48</v>
      </c>
      <c r="U453" s="74">
        <f t="shared" si="256"/>
        <v>21068.86</v>
      </c>
      <c r="W453" s="48"/>
      <c r="X453" s="48"/>
      <c r="Y453" s="48"/>
      <c r="Z453" s="48"/>
      <c r="AA453" s="48"/>
      <c r="AB453" s="48"/>
      <c r="AC453" s="48"/>
      <c r="AD453" s="48"/>
      <c r="AE453" s="48"/>
      <c r="AF453" s="48"/>
      <c r="AG453" s="48"/>
      <c r="AH453" s="48"/>
      <c r="AI453" s="40"/>
      <c r="AJ453"/>
      <c r="AK453"/>
    </row>
    <row r="454" spans="2:49" ht="15" x14ac:dyDescent="0.25">
      <c r="C454" s="45"/>
      <c r="D454" s="52"/>
      <c r="AJ454"/>
      <c r="AK454"/>
    </row>
    <row r="455" spans="2:49" ht="15" x14ac:dyDescent="0.25">
      <c r="C455" s="62"/>
      <c r="D455" s="52" t="s">
        <v>25</v>
      </c>
      <c r="I455" s="97">
        <f t="shared" ref="I455:U455" si="257">SUM(I70,I96,I103,I121,I257,I361,I418,I434,I448,I453)</f>
        <v>4239000.0699999994</v>
      </c>
      <c r="J455" s="97">
        <f t="shared" si="257"/>
        <v>4479300.5</v>
      </c>
      <c r="K455" s="74">
        <f t="shared" si="257"/>
        <v>4415148.72</v>
      </c>
      <c r="L455" s="74">
        <f t="shared" si="257"/>
        <v>4363468.8449999988</v>
      </c>
      <c r="M455" s="74">
        <f t="shared" si="257"/>
        <v>4430779.7849999992</v>
      </c>
      <c r="N455" s="74">
        <f t="shared" si="257"/>
        <v>4410693.9550000001</v>
      </c>
      <c r="O455" s="74">
        <f t="shared" si="257"/>
        <v>4427513.3549999995</v>
      </c>
      <c r="P455" s="74">
        <f t="shared" si="257"/>
        <v>4437387.1449999996</v>
      </c>
      <c r="Q455" s="74">
        <f t="shared" si="257"/>
        <v>4349646.7149999999</v>
      </c>
      <c r="R455" s="74">
        <f t="shared" si="257"/>
        <v>4636158.4250000007</v>
      </c>
      <c r="S455" s="74">
        <f t="shared" si="257"/>
        <v>4708813.0450000027</v>
      </c>
      <c r="T455" s="74">
        <f t="shared" si="257"/>
        <v>4708907.42</v>
      </c>
      <c r="U455" s="74">
        <f t="shared" si="257"/>
        <v>53606817.979999989</v>
      </c>
      <c r="AJ455"/>
      <c r="AK455"/>
    </row>
    <row r="456" spans="2:49" x14ac:dyDescent="0.2">
      <c r="C456" s="62"/>
      <c r="D456" s="62"/>
      <c r="AI456" s="47">
        <f>AI70+AI96+AI103+AI121+AI257+AI361+AI418+AI434</f>
        <v>167509.42595388342</v>
      </c>
      <c r="AJ456" s="40" t="s">
        <v>1175</v>
      </c>
      <c r="AM456" s="57" t="s">
        <v>1350</v>
      </c>
      <c r="AO456" s="189">
        <f>+AO434+AO418+AO361+AO257++AO121+AO103+AO96+AO70</f>
        <v>126837.24917214122</v>
      </c>
      <c r="AP456" s="45"/>
      <c r="AQ456" s="189">
        <f>+AQ434+AQ418+AQ361+AQ257++AQ121+AQ103+AQ96+AQ70</f>
        <v>3371.8831290827479</v>
      </c>
      <c r="AR456" s="45"/>
      <c r="AS456" s="189">
        <f>+AS434+AS418+AS361+AS257++AS121+AS103+AS96+AS70</f>
        <v>518.61456572950874</v>
      </c>
      <c r="AT456" s="45"/>
      <c r="AU456" s="189">
        <f>+AU434+AU418+AU361+AU257++AU121+AU103+AU96+AU70</f>
        <v>2867.2519696969694</v>
      </c>
      <c r="AW456" s="230">
        <f>+AO456+AQ456+AS456+AU456</f>
        <v>133594.99883665045</v>
      </c>
    </row>
    <row r="457" spans="2:49" x14ac:dyDescent="0.2">
      <c r="E457" s="40" t="s">
        <v>1106</v>
      </c>
      <c r="F457" s="40" t="s">
        <v>1106</v>
      </c>
      <c r="G457" s="40" t="s">
        <v>1106</v>
      </c>
      <c r="I457" s="81">
        <f t="shared" ref="I457:U457" si="258">+I94</f>
        <v>42184.12</v>
      </c>
      <c r="J457" s="81">
        <f t="shared" si="258"/>
        <v>43005.78</v>
      </c>
      <c r="K457" s="81">
        <f t="shared" si="258"/>
        <v>44358.97</v>
      </c>
      <c r="L457" s="81">
        <f t="shared" si="258"/>
        <v>43391.4</v>
      </c>
      <c r="M457" s="81">
        <f t="shared" si="258"/>
        <v>43177.63</v>
      </c>
      <c r="N457" s="81">
        <f t="shared" si="258"/>
        <v>43053.02</v>
      </c>
      <c r="O457" s="81">
        <f t="shared" si="258"/>
        <v>44100.800000000003</v>
      </c>
      <c r="P457" s="81">
        <f t="shared" si="258"/>
        <v>43813.25</v>
      </c>
      <c r="Q457" s="81">
        <f t="shared" si="258"/>
        <v>43730.92</v>
      </c>
      <c r="R457" s="81">
        <f t="shared" si="258"/>
        <v>9709.7999999999993</v>
      </c>
      <c r="S457" s="81">
        <f t="shared" si="258"/>
        <v>9282.2000000000007</v>
      </c>
      <c r="T457" s="81">
        <f t="shared" si="258"/>
        <v>7948.2</v>
      </c>
      <c r="U457" s="81">
        <f t="shared" si="258"/>
        <v>417756.08999999997</v>
      </c>
      <c r="AI457" s="40" t="s">
        <v>1352</v>
      </c>
      <c r="AJ457" s="236">
        <f>+AJ257+AJ70</f>
        <v>695201.54299052968</v>
      </c>
    </row>
    <row r="458" spans="2:49" s="81" customFormat="1" x14ac:dyDescent="0.2">
      <c r="C458" s="110"/>
      <c r="D458" s="110"/>
      <c r="E458" s="81" t="s">
        <v>1104</v>
      </c>
      <c r="F458" s="81" t="s">
        <v>1104</v>
      </c>
      <c r="G458" s="81" t="s">
        <v>1104</v>
      </c>
      <c r="I458" s="143">
        <v>4196815.9499999993</v>
      </c>
      <c r="J458" s="143">
        <v>4436294.7199999988</v>
      </c>
      <c r="K458" s="143">
        <v>4370789.7500000009</v>
      </c>
      <c r="L458" s="143">
        <v>4320077.4450000003</v>
      </c>
      <c r="M458" s="143">
        <v>4387602.1550000012</v>
      </c>
      <c r="N458" s="143">
        <v>4367640.9350000015</v>
      </c>
      <c r="O458" s="143">
        <v>4383412.5549999997</v>
      </c>
      <c r="P458" s="143">
        <v>4393573.8950000005</v>
      </c>
      <c r="Q458" s="143">
        <v>4305915.794999999</v>
      </c>
      <c r="R458" s="143">
        <v>4626448.6250000028</v>
      </c>
      <c r="S458" s="143">
        <v>4699530.8450000035</v>
      </c>
      <c r="T458" s="143">
        <v>4700959.2200000007</v>
      </c>
      <c r="U458" s="81">
        <f>SUM(I458:T458)</f>
        <v>53189061.890000008</v>
      </c>
    </row>
    <row r="459" spans="2:49" x14ac:dyDescent="0.2">
      <c r="I459" s="81">
        <f>+I455-I458</f>
        <v>42184.120000000112</v>
      </c>
      <c r="J459" s="81">
        <f>+J455-J458</f>
        <v>43005.780000001192</v>
      </c>
      <c r="K459" s="81">
        <f>+K455-K458</f>
        <v>44358.969999998808</v>
      </c>
      <c r="L459" s="81">
        <f t="shared" ref="L459:R459" si="259">+L455-L458</f>
        <v>43391.39999999851</v>
      </c>
      <c r="M459" s="81">
        <f t="shared" si="259"/>
        <v>43177.629999998026</v>
      </c>
      <c r="N459" s="81">
        <f t="shared" si="259"/>
        <v>43053.019999998622</v>
      </c>
      <c r="O459" s="81">
        <f t="shared" si="259"/>
        <v>44100.799999999814</v>
      </c>
      <c r="P459" s="81">
        <f t="shared" si="259"/>
        <v>43813.249999999069</v>
      </c>
      <c r="Q459" s="81">
        <f t="shared" si="259"/>
        <v>43730.920000000857</v>
      </c>
      <c r="R459" s="81">
        <f t="shared" si="259"/>
        <v>9709.7999999979511</v>
      </c>
      <c r="S459" s="110">
        <f>+S455-S458</f>
        <v>9282.1999999992549</v>
      </c>
      <c r="T459" s="110">
        <f>+T455-T458</f>
        <v>7948.1999999992549</v>
      </c>
      <c r="U459" s="100">
        <f>SUM(I459:T459)</f>
        <v>417756.08999999147</v>
      </c>
    </row>
    <row r="460" spans="2:49" x14ac:dyDescent="0.2">
      <c r="E460" s="40" t="s">
        <v>1107</v>
      </c>
      <c r="F460" s="40" t="s">
        <v>1107</v>
      </c>
      <c r="G460" s="40" t="s">
        <v>1107</v>
      </c>
      <c r="I460" s="110">
        <f t="shared" ref="I460:T460" si="260">+I457-I459</f>
        <v>-1.0913936421275139E-10</v>
      </c>
      <c r="J460" s="110">
        <f t="shared" si="260"/>
        <v>-1.1932570487260818E-9</v>
      </c>
      <c r="K460" s="110">
        <f t="shared" si="260"/>
        <v>1.1932570487260818E-9</v>
      </c>
      <c r="L460" s="110">
        <f t="shared" si="260"/>
        <v>1.4915713109076023E-9</v>
      </c>
      <c r="M460" s="110">
        <f t="shared" si="260"/>
        <v>1.9717845134437084E-9</v>
      </c>
      <c r="N460" s="110">
        <f t="shared" si="260"/>
        <v>1.3751559890806675E-9</v>
      </c>
      <c r="O460" s="110">
        <f t="shared" si="260"/>
        <v>1.8917489796876907E-10</v>
      </c>
      <c r="P460" s="110">
        <f t="shared" si="260"/>
        <v>9.3132257461547852E-10</v>
      </c>
      <c r="Q460" s="110">
        <f t="shared" si="260"/>
        <v>-8.5856299847364426E-10</v>
      </c>
      <c r="R460" s="110">
        <f t="shared" si="260"/>
        <v>2.0481820683926344E-9</v>
      </c>
      <c r="S460" s="110">
        <f t="shared" si="260"/>
        <v>7.4578565545380116E-10</v>
      </c>
      <c r="T460" s="110">
        <f t="shared" si="260"/>
        <v>7.4487616075202823E-10</v>
      </c>
      <c r="U460" s="100">
        <f>SUM(I460:T460)</f>
        <v>8.5301508079282939E-9</v>
      </c>
    </row>
  </sheetData>
  <mergeCells count="4">
    <mergeCell ref="AN4:AO4"/>
    <mergeCell ref="AP4:AQ4"/>
    <mergeCell ref="AR4:AS4"/>
    <mergeCell ref="AT4:AU4"/>
  </mergeCells>
  <phoneticPr fontId="70" type="noConversion"/>
  <conditionalFormatting sqref="AK3:AK11 AK67 AK73:AK94 AK106:AK119 AK331">
    <cfRule type="cellIs" dxfId="3" priority="8" operator="greaterThan">
      <formula>0</formula>
    </cfRule>
  </conditionalFormatting>
  <conditionalFormatting sqref="AK99:AK101">
    <cfRule type="cellIs" dxfId="2" priority="5" operator="greaterThan">
      <formula>0</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6" tint="0.59999389629810485"/>
  </sheetPr>
  <dimension ref="A1:AV243"/>
  <sheetViews>
    <sheetView showGridLines="0" view="pageBreakPreview" zoomScale="60" zoomScaleNormal="70" workbookViewId="0">
      <pane xSplit="8" ySplit="5" topLeftCell="I6" activePane="bottomRight" state="frozen"/>
      <selection activeCell="M20" sqref="M20"/>
      <selection pane="topRight" activeCell="M20" sqref="M20"/>
      <selection pane="bottomLeft" activeCell="M20" sqref="M20"/>
      <selection pane="bottomRight" activeCell="M20" sqref="M20"/>
    </sheetView>
  </sheetViews>
  <sheetFormatPr defaultColWidth="9.140625" defaultRowHeight="12.75" outlineLevelCol="1" x14ac:dyDescent="0.2"/>
  <cols>
    <col min="1" max="1" width="9.140625" style="40"/>
    <col min="2" max="2" width="26.140625" style="40" customWidth="1"/>
    <col min="3" max="3" width="22.7109375" style="40" customWidth="1"/>
    <col min="4" max="4" width="29.140625" style="40" bestFit="1" customWidth="1"/>
    <col min="5" max="7" width="16.7109375" style="40" bestFit="1" customWidth="1"/>
    <col min="8" max="8" width="2" style="40" customWidth="1"/>
    <col min="9" max="9" width="14" style="81" customWidth="1" outlineLevel="1"/>
    <col min="10" max="10" width="15.85546875" style="40" customWidth="1" outlineLevel="1"/>
    <col min="11" max="11" width="18.7109375" style="40" customWidth="1" outlineLevel="1"/>
    <col min="12" max="12" width="15.42578125" style="40" customWidth="1" outlineLevel="1"/>
    <col min="13" max="13" width="15.85546875" style="40" customWidth="1" outlineLevel="1"/>
    <col min="14" max="14" width="15.42578125" style="40" customWidth="1" outlineLevel="1"/>
    <col min="15" max="15" width="15.85546875" style="40" customWidth="1" outlineLevel="1"/>
    <col min="16" max="16" width="15.42578125" style="40" customWidth="1" outlineLevel="1"/>
    <col min="17" max="18" width="15.85546875" style="40" customWidth="1" outlineLevel="1"/>
    <col min="19" max="19" width="15.42578125" style="40" customWidth="1" outlineLevel="1"/>
    <col min="20" max="20" width="15.85546875" style="40" customWidth="1" outlineLevel="1"/>
    <col min="21" max="21" width="17.42578125" style="40" bestFit="1" customWidth="1"/>
    <col min="22" max="22" width="13.5703125" style="40" bestFit="1" customWidth="1"/>
    <col min="23" max="23" width="8.7109375" style="40" customWidth="1" outlineLevel="1"/>
    <col min="24" max="24" width="8.85546875" style="40" customWidth="1" outlineLevel="1"/>
    <col min="25" max="25" width="9.140625" style="40" customWidth="1" outlineLevel="1"/>
    <col min="26" max="26" width="8.7109375" style="40" customWidth="1" outlineLevel="1"/>
    <col min="27" max="27" width="9.28515625" style="40" customWidth="1" outlineLevel="1"/>
    <col min="28" max="28" width="8.7109375" style="40" customWidth="1" outlineLevel="1"/>
    <col min="29" max="29" width="8.140625" style="40" customWidth="1" outlineLevel="1"/>
    <col min="30" max="30" width="9.140625" style="40" customWidth="1" outlineLevel="1"/>
    <col min="31" max="31" width="8.85546875" style="40" customWidth="1" outlineLevel="1"/>
    <col min="32" max="32" width="8.7109375" style="40" customWidth="1" outlineLevel="1"/>
    <col min="33" max="33" width="9.28515625" style="40" customWidth="1" outlineLevel="1"/>
    <col min="34" max="34" width="9.140625" style="40" customWidth="1" outlineLevel="1"/>
    <col min="35" max="35" width="16.42578125" style="40" bestFit="1" customWidth="1"/>
    <col min="36" max="36" width="20" style="40" bestFit="1" customWidth="1"/>
    <col min="37" max="37" width="9.140625" style="40"/>
    <col min="38" max="46" width="9.140625" style="40" customWidth="1" outlineLevel="1"/>
    <col min="47" max="16384" width="9.140625" style="40"/>
  </cols>
  <sheetData>
    <row r="1" spans="2:46" ht="12" customHeight="1" x14ac:dyDescent="0.25">
      <c r="C1" s="57" t="s">
        <v>45</v>
      </c>
      <c r="D1" s="45"/>
      <c r="E1" s="53"/>
      <c r="F1" s="53"/>
      <c r="G1" s="53"/>
      <c r="H1" s="45"/>
      <c r="I1" s="46"/>
      <c r="J1" s="118"/>
      <c r="K1" s="89"/>
      <c r="L1" s="118"/>
      <c r="M1" s="89"/>
      <c r="N1" s="45"/>
      <c r="O1" s="45"/>
      <c r="P1" s="45"/>
      <c r="Q1" s="45"/>
      <c r="R1" s="45"/>
      <c r="S1" s="45"/>
      <c r="T1" s="45"/>
      <c r="U1" s="45"/>
      <c r="V1" s="45"/>
      <c r="W1" s="45"/>
      <c r="X1" s="45"/>
      <c r="Y1" s="45"/>
      <c r="Z1" s="45"/>
      <c r="AA1" s="45"/>
      <c r="AB1" s="45"/>
      <c r="AC1" s="45"/>
      <c r="AD1" s="45"/>
      <c r="AE1" s="45"/>
      <c r="AF1" s="45"/>
      <c r="AG1" s="45"/>
      <c r="AH1" s="45"/>
    </row>
    <row r="2" spans="2:46" ht="12" customHeight="1" x14ac:dyDescent="0.25">
      <c r="C2" s="57" t="s">
        <v>922</v>
      </c>
      <c r="D2" s="45"/>
      <c r="E2" s="53"/>
      <c r="F2" s="53"/>
      <c r="G2" s="53"/>
      <c r="H2" s="45"/>
      <c r="I2" s="46"/>
      <c r="J2" s="89"/>
      <c r="K2" s="89"/>
      <c r="L2" s="118"/>
      <c r="M2" s="89"/>
      <c r="N2" s="45"/>
      <c r="O2" s="45"/>
      <c r="P2" s="45"/>
      <c r="Q2" s="45"/>
      <c r="R2" s="45"/>
      <c r="S2" s="45"/>
      <c r="T2" s="45"/>
      <c r="U2" s="45"/>
      <c r="V2" s="45"/>
      <c r="W2" s="45"/>
      <c r="X2" s="45"/>
      <c r="Y2" s="45"/>
      <c r="Z2" s="45"/>
      <c r="AA2" s="45"/>
      <c r="AB2" s="45"/>
      <c r="AC2" s="45"/>
      <c r="AD2" s="45"/>
      <c r="AE2" s="45"/>
      <c r="AF2" s="45"/>
      <c r="AG2" s="45"/>
      <c r="AH2" s="45"/>
    </row>
    <row r="3" spans="2:46" ht="12" customHeight="1" x14ac:dyDescent="0.25">
      <c r="C3" s="2" t="s">
        <v>1371</v>
      </c>
      <c r="D3" s="45"/>
      <c r="E3" s="53"/>
      <c r="F3" s="53"/>
      <c r="G3" s="53"/>
      <c r="H3" s="45"/>
      <c r="I3" s="46"/>
      <c r="J3" s="118"/>
      <c r="K3" s="89"/>
      <c r="L3" s="63"/>
      <c r="M3" s="45"/>
      <c r="N3" s="45"/>
      <c r="O3" s="45"/>
      <c r="P3" s="45"/>
      <c r="Q3" s="45"/>
      <c r="R3" s="45"/>
      <c r="S3" s="45"/>
      <c r="T3" s="45"/>
      <c r="U3" s="45"/>
      <c r="V3" s="45"/>
      <c r="W3" s="45"/>
      <c r="X3" s="45"/>
      <c r="Y3" s="45"/>
      <c r="Z3" s="45"/>
      <c r="AA3" s="45"/>
      <c r="AB3" s="45"/>
      <c r="AC3" s="45"/>
      <c r="AD3" s="45"/>
      <c r="AE3" s="45"/>
      <c r="AF3" s="45"/>
      <c r="AG3" s="45"/>
      <c r="AH3" s="45"/>
      <c r="AJ3" s="45" t="s">
        <v>26</v>
      </c>
      <c r="AK3" s="45"/>
    </row>
    <row r="4" spans="2:46" ht="12" customHeight="1" x14ac:dyDescent="0.2">
      <c r="C4" s="45"/>
      <c r="D4" s="64"/>
      <c r="E4" s="65">
        <v>2023</v>
      </c>
      <c r="F4" s="293">
        <v>45108</v>
      </c>
      <c r="G4" s="293">
        <v>45108</v>
      </c>
      <c r="H4" s="45"/>
      <c r="I4" s="297">
        <v>45017</v>
      </c>
      <c r="J4" s="297">
        <v>45047</v>
      </c>
      <c r="K4" s="297">
        <v>45078</v>
      </c>
      <c r="L4" s="36">
        <v>45108</v>
      </c>
      <c r="M4" s="36">
        <v>45139</v>
      </c>
      <c r="N4" s="36">
        <v>45170</v>
      </c>
      <c r="O4" s="36">
        <v>45200</v>
      </c>
      <c r="P4" s="36">
        <v>45231</v>
      </c>
      <c r="Q4" s="36">
        <v>45261</v>
      </c>
      <c r="R4" s="38">
        <v>45292</v>
      </c>
      <c r="S4" s="38">
        <v>45323</v>
      </c>
      <c r="T4" s="38">
        <v>45352</v>
      </c>
      <c r="U4" s="111" t="s">
        <v>1370</v>
      </c>
      <c r="V4" s="45"/>
      <c r="W4" s="297">
        <v>45017</v>
      </c>
      <c r="X4" s="297">
        <v>45047</v>
      </c>
      <c r="Y4" s="297">
        <v>45078</v>
      </c>
      <c r="Z4" s="36">
        <v>45108</v>
      </c>
      <c r="AA4" s="36">
        <v>45139</v>
      </c>
      <c r="AB4" s="36">
        <v>45170</v>
      </c>
      <c r="AC4" s="36">
        <v>45200</v>
      </c>
      <c r="AD4" s="36">
        <v>45231</v>
      </c>
      <c r="AE4" s="36">
        <v>45261</v>
      </c>
      <c r="AF4" s="38">
        <v>45292</v>
      </c>
      <c r="AG4" s="38">
        <v>45323</v>
      </c>
      <c r="AH4" s="38">
        <v>45352</v>
      </c>
      <c r="AI4" s="111" t="s">
        <v>1370</v>
      </c>
      <c r="AJ4" s="111" t="s">
        <v>1370</v>
      </c>
      <c r="AK4" s="45"/>
      <c r="AM4" s="305" t="s">
        <v>1325</v>
      </c>
      <c r="AN4" s="306"/>
      <c r="AO4" s="305" t="s">
        <v>1326</v>
      </c>
      <c r="AP4" s="306"/>
      <c r="AQ4" s="305" t="s">
        <v>1327</v>
      </c>
      <c r="AR4" s="306"/>
      <c r="AS4" s="305" t="s">
        <v>1330</v>
      </c>
      <c r="AT4" s="306"/>
    </row>
    <row r="5" spans="2:46" ht="12" customHeight="1" x14ac:dyDescent="0.2">
      <c r="C5" s="67" t="s">
        <v>0</v>
      </c>
      <c r="D5" s="64" t="s">
        <v>1</v>
      </c>
      <c r="E5" s="68" t="s">
        <v>1305</v>
      </c>
      <c r="F5" s="68" t="s">
        <v>1305</v>
      </c>
      <c r="G5" s="68" t="s">
        <v>1305</v>
      </c>
      <c r="H5" s="64"/>
      <c r="I5" s="298" t="s">
        <v>21</v>
      </c>
      <c r="J5" s="298" t="s">
        <v>21</v>
      </c>
      <c r="K5" s="298" t="s">
        <v>21</v>
      </c>
      <c r="L5" s="37" t="s">
        <v>21</v>
      </c>
      <c r="M5" s="37" t="s">
        <v>21</v>
      </c>
      <c r="N5" s="37" t="s">
        <v>21</v>
      </c>
      <c r="O5" s="37" t="s">
        <v>21</v>
      </c>
      <c r="P5" s="37" t="s">
        <v>21</v>
      </c>
      <c r="Q5" s="37" t="s">
        <v>21</v>
      </c>
      <c r="R5" s="39" t="s">
        <v>21</v>
      </c>
      <c r="S5" s="39" t="s">
        <v>21</v>
      </c>
      <c r="T5" s="39" t="s">
        <v>21</v>
      </c>
      <c r="U5" s="66" t="s">
        <v>21</v>
      </c>
      <c r="V5" s="45"/>
      <c r="W5" s="69" t="s">
        <v>27</v>
      </c>
      <c r="X5" s="69" t="s">
        <v>27</v>
      </c>
      <c r="Y5" s="69" t="s">
        <v>27</v>
      </c>
      <c r="Z5" s="69" t="s">
        <v>27</v>
      </c>
      <c r="AA5" s="69" t="s">
        <v>27</v>
      </c>
      <c r="AB5" s="69" t="s">
        <v>27</v>
      </c>
      <c r="AC5" s="69" t="s">
        <v>27</v>
      </c>
      <c r="AD5" s="69" t="s">
        <v>27</v>
      </c>
      <c r="AE5" s="69" t="s">
        <v>27</v>
      </c>
      <c r="AF5" s="69" t="s">
        <v>27</v>
      </c>
      <c r="AG5" s="69" t="s">
        <v>27</v>
      </c>
      <c r="AH5" s="69" t="s">
        <v>27</v>
      </c>
      <c r="AI5" s="69" t="s">
        <v>27</v>
      </c>
      <c r="AJ5" s="216" t="s">
        <v>27</v>
      </c>
      <c r="AK5" s="45"/>
      <c r="AM5" s="209" t="s">
        <v>1328</v>
      </c>
      <c r="AN5" s="210" t="s">
        <v>1329</v>
      </c>
      <c r="AO5" s="209" t="s">
        <v>1328</v>
      </c>
      <c r="AP5" s="210" t="s">
        <v>1329</v>
      </c>
      <c r="AQ5" s="209" t="s">
        <v>1328</v>
      </c>
      <c r="AR5" s="210" t="s">
        <v>1329</v>
      </c>
      <c r="AS5" s="209" t="s">
        <v>1328</v>
      </c>
      <c r="AT5" s="210" t="s">
        <v>1329</v>
      </c>
    </row>
    <row r="6" spans="2:46" ht="12" customHeight="1" x14ac:dyDescent="0.2">
      <c r="AJ6" s="45"/>
      <c r="AK6" s="45"/>
    </row>
    <row r="7" spans="2:46" s="45" customFormat="1" ht="12" customHeight="1" x14ac:dyDescent="0.2">
      <c r="E7" s="53"/>
      <c r="F7" s="53"/>
      <c r="G7" s="53"/>
      <c r="I7" s="45">
        <v>7</v>
      </c>
      <c r="J7" s="45">
        <v>8</v>
      </c>
      <c r="K7" s="45">
        <v>9</v>
      </c>
      <c r="L7" s="45">
        <v>10</v>
      </c>
      <c r="M7" s="45">
        <v>11</v>
      </c>
      <c r="N7" s="45">
        <v>12</v>
      </c>
      <c r="O7" s="45">
        <v>13</v>
      </c>
      <c r="P7" s="45">
        <v>14</v>
      </c>
      <c r="Q7" s="45">
        <v>15</v>
      </c>
      <c r="R7" s="45">
        <v>4</v>
      </c>
      <c r="S7" s="45">
        <v>5</v>
      </c>
      <c r="T7" s="45">
        <v>6</v>
      </c>
      <c r="AI7" s="40"/>
    </row>
    <row r="8" spans="2:46" s="45" customFormat="1" ht="12" customHeight="1" x14ac:dyDescent="0.2">
      <c r="E8" s="53"/>
      <c r="F8" s="53"/>
      <c r="G8" s="53"/>
      <c r="H8" s="44"/>
      <c r="I8" s="115">
        <v>0</v>
      </c>
      <c r="J8" s="115">
        <v>0</v>
      </c>
      <c r="K8" s="115">
        <v>0</v>
      </c>
      <c r="L8" s="115">
        <v>0</v>
      </c>
      <c r="M8" s="115">
        <v>0</v>
      </c>
      <c r="N8" s="115">
        <v>0</v>
      </c>
      <c r="O8" s="115">
        <v>0</v>
      </c>
      <c r="P8" s="115">
        <v>0</v>
      </c>
      <c r="Q8" s="115">
        <v>0</v>
      </c>
      <c r="R8" s="115">
        <v>0</v>
      </c>
      <c r="S8" s="115">
        <v>0</v>
      </c>
      <c r="T8" s="115">
        <v>0</v>
      </c>
      <c r="AI8" s="40"/>
    </row>
    <row r="9" spans="2:46" s="45" customFormat="1" ht="12" customHeight="1" x14ac:dyDescent="0.2">
      <c r="C9" s="70" t="s">
        <v>2</v>
      </c>
      <c r="D9" s="70" t="s">
        <v>2</v>
      </c>
      <c r="E9" s="53"/>
      <c r="F9" s="53"/>
      <c r="G9" s="53"/>
      <c r="H9" s="44"/>
      <c r="I9" s="77"/>
      <c r="AI9" s="40"/>
    </row>
    <row r="10" spans="2:46" s="45" customFormat="1" ht="12" customHeight="1" x14ac:dyDescent="0.2">
      <c r="C10" s="70"/>
      <c r="D10" s="70"/>
      <c r="E10" s="53"/>
      <c r="F10" s="53"/>
      <c r="G10" s="53"/>
      <c r="H10" s="44"/>
      <c r="I10" s="77"/>
      <c r="AI10" s="40"/>
    </row>
    <row r="11" spans="2:46" s="45" customFormat="1" ht="12" customHeight="1" x14ac:dyDescent="0.2">
      <c r="C11" s="42" t="s">
        <v>3</v>
      </c>
      <c r="D11" s="42" t="s">
        <v>3</v>
      </c>
      <c r="E11" s="55"/>
      <c r="F11" s="55"/>
      <c r="G11" s="55"/>
      <c r="H11" s="55"/>
      <c r="I11" s="46"/>
      <c r="J11" s="49"/>
      <c r="K11" s="49"/>
      <c r="L11" s="48"/>
      <c r="M11" s="48"/>
      <c r="N11" s="48"/>
      <c r="O11" s="48"/>
      <c r="P11" s="48"/>
      <c r="Q11" s="48"/>
      <c r="R11" s="48"/>
      <c r="S11" s="49"/>
      <c r="T11" s="49"/>
      <c r="U11" s="73"/>
    </row>
    <row r="12" spans="2:46" s="253" customFormat="1" x14ac:dyDescent="0.2">
      <c r="B12" s="241" t="str">
        <f>"Wash"&amp;"residential"&amp;C12</f>
        <v>WashresidentialWRG40EOWHEL15</v>
      </c>
      <c r="C12" s="232" t="s">
        <v>923</v>
      </c>
      <c r="D12" s="232" t="s">
        <v>935</v>
      </c>
      <c r="E12" s="238">
        <v>6.08</v>
      </c>
      <c r="F12" s="238">
        <v>6.08</v>
      </c>
      <c r="G12" s="238">
        <v>6.49</v>
      </c>
      <c r="H12" s="261"/>
      <c r="I12" s="243">
        <v>18.239999999999998</v>
      </c>
      <c r="J12" s="243">
        <v>24.32</v>
      </c>
      <c r="K12" s="243">
        <v>15.200000000000001</v>
      </c>
      <c r="L12" s="243">
        <v>21.28</v>
      </c>
      <c r="M12" s="243">
        <v>21.28</v>
      </c>
      <c r="N12" s="243">
        <v>18.239999999999998</v>
      </c>
      <c r="O12" s="243">
        <v>18.239999999999998</v>
      </c>
      <c r="P12" s="243">
        <v>18.239999999999998</v>
      </c>
      <c r="Q12" s="243">
        <v>18.239999999999998</v>
      </c>
      <c r="R12" s="243">
        <v>19.47</v>
      </c>
      <c r="S12" s="243">
        <v>19.47</v>
      </c>
      <c r="T12" s="243">
        <v>16.225000000000001</v>
      </c>
      <c r="U12" s="263">
        <f>SUM(I12:T12)</f>
        <v>228.44500000000002</v>
      </c>
      <c r="W12" s="264">
        <f>IFERROR(I12/$E12,0)</f>
        <v>2.9999999999999996</v>
      </c>
      <c r="X12" s="264">
        <f>IFERROR(J12/$E12,0)</f>
        <v>4</v>
      </c>
      <c r="Y12" s="264">
        <f>IFERROR(K12/$E12,0)</f>
        <v>2.5</v>
      </c>
      <c r="Z12" s="264">
        <f t="shared" ref="Z12:AE12" si="0">IFERROR(L12/$F12,0)</f>
        <v>3.5</v>
      </c>
      <c r="AA12" s="264">
        <f t="shared" si="0"/>
        <v>3.5</v>
      </c>
      <c r="AB12" s="264">
        <f t="shared" si="0"/>
        <v>2.9999999999999996</v>
      </c>
      <c r="AC12" s="264">
        <f t="shared" si="0"/>
        <v>2.9999999999999996</v>
      </c>
      <c r="AD12" s="264">
        <f t="shared" si="0"/>
        <v>2.9999999999999996</v>
      </c>
      <c r="AE12" s="264">
        <f t="shared" si="0"/>
        <v>2.9999999999999996</v>
      </c>
      <c r="AF12" s="264">
        <f>IFERROR(R12/$G12,0)</f>
        <v>2.9999999999999996</v>
      </c>
      <c r="AG12" s="264">
        <f>IFERROR(S12/$G12,0)</f>
        <v>2.9999999999999996</v>
      </c>
      <c r="AH12" s="264">
        <f>IFERROR(T12/$G12,0)</f>
        <v>2.5</v>
      </c>
      <c r="AI12" s="265">
        <f>+IFERROR(AVERAGE(W12:AH12),0)</f>
        <v>3.0833333333333335</v>
      </c>
      <c r="AJ12" s="266">
        <f>SUM(W12:AH12)</f>
        <v>37</v>
      </c>
      <c r="AM12" s="241">
        <v>1</v>
      </c>
      <c r="AN12" s="240">
        <f t="shared" ref="AN12:AN26" si="1">+$AI12*AM12</f>
        <v>3.0833333333333335</v>
      </c>
      <c r="AO12" s="241">
        <v>0</v>
      </c>
      <c r="AP12" s="240">
        <f t="shared" ref="AP12:AP26" si="2">+$AI12*AO12</f>
        <v>0</v>
      </c>
      <c r="AQ12" s="241">
        <v>0</v>
      </c>
      <c r="AR12" s="240">
        <f t="shared" ref="AR12:AR26" si="3">+$AI12*AQ12</f>
        <v>0</v>
      </c>
      <c r="AS12" s="241">
        <v>0</v>
      </c>
      <c r="AT12" s="240">
        <f t="shared" ref="AT12:AT26" si="4">+$AI12*AS12</f>
        <v>0</v>
      </c>
    </row>
    <row r="13" spans="2:46" s="253" customFormat="1" x14ac:dyDescent="0.2">
      <c r="B13" s="241" t="str">
        <f t="shared" ref="B13:B22" si="5">"Wash"&amp;"residential"&amp;C13</f>
        <v>WashresidentialWRG40EOWHEL20</v>
      </c>
      <c r="C13" s="232" t="s">
        <v>924</v>
      </c>
      <c r="D13" s="232" t="s">
        <v>936</v>
      </c>
      <c r="E13" s="238">
        <v>10.51</v>
      </c>
      <c r="F13" s="238">
        <v>10.51</v>
      </c>
      <c r="G13" s="238">
        <v>11.22</v>
      </c>
      <c r="H13" s="261"/>
      <c r="I13" s="243">
        <v>42.04</v>
      </c>
      <c r="J13" s="243">
        <v>42.04</v>
      </c>
      <c r="K13" s="243">
        <v>42.04</v>
      </c>
      <c r="L13" s="243">
        <v>42.04</v>
      </c>
      <c r="M13" s="243">
        <v>42.04</v>
      </c>
      <c r="N13" s="243">
        <v>42.04</v>
      </c>
      <c r="O13" s="243">
        <v>42.04</v>
      </c>
      <c r="P13" s="243">
        <v>42.04</v>
      </c>
      <c r="Q13" s="243">
        <v>42.04</v>
      </c>
      <c r="R13" s="243">
        <v>39.270000000000003</v>
      </c>
      <c r="S13" s="243">
        <v>39.270000000000003</v>
      </c>
      <c r="T13" s="243">
        <v>44.88</v>
      </c>
      <c r="U13" s="263">
        <f t="shared" ref="U13:U43" si="6">SUM(I13:T13)</f>
        <v>501.78</v>
      </c>
      <c r="W13" s="264">
        <f t="shared" ref="W13:W43" si="7">IFERROR(I13/$E13,0)</f>
        <v>4</v>
      </c>
      <c r="X13" s="264">
        <f t="shared" ref="X13:X43" si="8">IFERROR(J13/$E13,0)</f>
        <v>4</v>
      </c>
      <c r="Y13" s="264">
        <f t="shared" ref="Y13:Y43" si="9">IFERROR(K13/$E13,0)</f>
        <v>4</v>
      </c>
      <c r="Z13" s="264">
        <f t="shared" ref="Z13:Z43" si="10">IFERROR(L13/$F13,0)</f>
        <v>4</v>
      </c>
      <c r="AA13" s="264">
        <f t="shared" ref="AA13:AA43" si="11">IFERROR(M13/$F13,0)</f>
        <v>4</v>
      </c>
      <c r="AB13" s="264">
        <f t="shared" ref="AB13:AB43" si="12">IFERROR(N13/$F13,0)</f>
        <v>4</v>
      </c>
      <c r="AC13" s="264">
        <f t="shared" ref="AC13:AC43" si="13">IFERROR(O13/$F13,0)</f>
        <v>4</v>
      </c>
      <c r="AD13" s="264">
        <f t="shared" ref="AD13:AD43" si="14">IFERROR(P13/$F13,0)</f>
        <v>4</v>
      </c>
      <c r="AE13" s="264">
        <f t="shared" ref="AE13:AE43" si="15">IFERROR(Q13/$F13,0)</f>
        <v>4</v>
      </c>
      <c r="AF13" s="264">
        <f t="shared" ref="AF13:AF43" si="16">IFERROR(R13/$G13,0)</f>
        <v>3.5</v>
      </c>
      <c r="AG13" s="264">
        <f t="shared" ref="AG13:AG43" si="17">IFERROR(S13/$G13,0)</f>
        <v>3.5</v>
      </c>
      <c r="AH13" s="264">
        <f t="shared" ref="AH13:AH43" si="18">IFERROR(T13/$G13,0)</f>
        <v>4</v>
      </c>
      <c r="AI13" s="265">
        <f t="shared" ref="AI13:AI43" si="19">+IFERROR(AVERAGE(W13:AH13),0)</f>
        <v>3.9166666666666665</v>
      </c>
      <c r="AJ13" s="266">
        <f t="shared" ref="AJ13:AJ43" si="20">SUM(W13:AH13)</f>
        <v>47</v>
      </c>
      <c r="AM13" s="241">
        <v>1</v>
      </c>
      <c r="AN13" s="240">
        <f t="shared" si="1"/>
        <v>3.9166666666666665</v>
      </c>
      <c r="AO13" s="241">
        <v>0</v>
      </c>
      <c r="AP13" s="240">
        <f t="shared" si="2"/>
        <v>0</v>
      </c>
      <c r="AQ13" s="241">
        <v>0</v>
      </c>
      <c r="AR13" s="240">
        <f t="shared" si="3"/>
        <v>0</v>
      </c>
      <c r="AS13" s="241">
        <v>0</v>
      </c>
      <c r="AT13" s="240">
        <f t="shared" si="4"/>
        <v>0</v>
      </c>
    </row>
    <row r="14" spans="2:46" s="253" customFormat="1" x14ac:dyDescent="0.2">
      <c r="B14" s="241" t="str">
        <f t="shared" si="5"/>
        <v>WashresidentialWRG40EOWROL</v>
      </c>
      <c r="C14" s="232" t="s">
        <v>925</v>
      </c>
      <c r="D14" s="232" t="s">
        <v>937</v>
      </c>
      <c r="E14" s="238">
        <v>27.85</v>
      </c>
      <c r="F14" s="238">
        <v>27.85</v>
      </c>
      <c r="G14" s="238">
        <v>29.74</v>
      </c>
      <c r="H14" s="261"/>
      <c r="I14" s="243">
        <v>55.7</v>
      </c>
      <c r="J14" s="243">
        <v>76.584999999999994</v>
      </c>
      <c r="K14" s="243">
        <v>76.584999999999994</v>
      </c>
      <c r="L14" s="243">
        <v>83.55</v>
      </c>
      <c r="M14" s="243">
        <v>83.55</v>
      </c>
      <c r="N14" s="243">
        <v>83.55</v>
      </c>
      <c r="O14" s="243">
        <v>83.55</v>
      </c>
      <c r="P14" s="243">
        <v>83.55</v>
      </c>
      <c r="Q14" s="243">
        <v>83.55</v>
      </c>
      <c r="R14" s="243">
        <v>52.045000000000002</v>
      </c>
      <c r="S14" s="243">
        <v>37.175000000000004</v>
      </c>
      <c r="T14" s="243">
        <v>59.48</v>
      </c>
      <c r="U14" s="263">
        <f t="shared" si="6"/>
        <v>858.86999999999989</v>
      </c>
      <c r="W14" s="264">
        <f t="shared" si="7"/>
        <v>2</v>
      </c>
      <c r="X14" s="264">
        <f t="shared" si="8"/>
        <v>2.7499102333931775</v>
      </c>
      <c r="Y14" s="264">
        <f t="shared" si="9"/>
        <v>2.7499102333931775</v>
      </c>
      <c r="Z14" s="264">
        <f t="shared" si="10"/>
        <v>2.9999999999999996</v>
      </c>
      <c r="AA14" s="264">
        <f t="shared" si="11"/>
        <v>2.9999999999999996</v>
      </c>
      <c r="AB14" s="264">
        <f t="shared" si="12"/>
        <v>2.9999999999999996</v>
      </c>
      <c r="AC14" s="264">
        <f t="shared" si="13"/>
        <v>2.9999999999999996</v>
      </c>
      <c r="AD14" s="264">
        <f t="shared" si="14"/>
        <v>2.9999999999999996</v>
      </c>
      <c r="AE14" s="264">
        <f t="shared" si="15"/>
        <v>2.9999999999999996</v>
      </c>
      <c r="AF14" s="264">
        <f t="shared" si="16"/>
        <v>1.7500000000000002</v>
      </c>
      <c r="AG14" s="264">
        <f t="shared" si="17"/>
        <v>1.2500000000000002</v>
      </c>
      <c r="AH14" s="264">
        <f t="shared" si="18"/>
        <v>2</v>
      </c>
      <c r="AI14" s="265">
        <f t="shared" si="19"/>
        <v>2.5416517055655294</v>
      </c>
      <c r="AJ14" s="266">
        <f t="shared" si="20"/>
        <v>30.499820466786353</v>
      </c>
      <c r="AM14" s="241">
        <v>1</v>
      </c>
      <c r="AN14" s="240">
        <f t="shared" si="1"/>
        <v>2.5416517055655294</v>
      </c>
      <c r="AO14" s="241">
        <v>0</v>
      </c>
      <c r="AP14" s="240">
        <f t="shared" si="2"/>
        <v>0</v>
      </c>
      <c r="AQ14" s="241">
        <v>0</v>
      </c>
      <c r="AR14" s="240">
        <f t="shared" si="3"/>
        <v>0</v>
      </c>
      <c r="AS14" s="241">
        <v>0</v>
      </c>
      <c r="AT14" s="240">
        <f t="shared" si="4"/>
        <v>0</v>
      </c>
    </row>
    <row r="15" spans="2:46" s="253" customFormat="1" x14ac:dyDescent="0.2">
      <c r="B15" s="241" t="str">
        <f t="shared" si="5"/>
        <v>WashresidentialWRG40EOW</v>
      </c>
      <c r="C15" s="232" t="s">
        <v>926</v>
      </c>
      <c r="D15" s="232" t="s">
        <v>938</v>
      </c>
      <c r="E15" s="238">
        <v>15.73</v>
      </c>
      <c r="F15" s="238">
        <v>15.73</v>
      </c>
      <c r="G15" s="238">
        <v>16.8</v>
      </c>
      <c r="H15" s="261"/>
      <c r="I15" s="243">
        <v>16127.705</v>
      </c>
      <c r="J15" s="243">
        <v>16174.394999999999</v>
      </c>
      <c r="K15" s="243">
        <v>16111.375</v>
      </c>
      <c r="L15" s="243">
        <v>16178.244999999999</v>
      </c>
      <c r="M15" s="243">
        <v>16186.105</v>
      </c>
      <c r="N15" s="243">
        <v>16249.08</v>
      </c>
      <c r="O15" s="243">
        <v>16107.5</v>
      </c>
      <c r="P15" s="243">
        <v>16217.67</v>
      </c>
      <c r="Q15" s="243">
        <v>16060.34</v>
      </c>
      <c r="R15" s="243">
        <v>17201.07</v>
      </c>
      <c r="S15" s="243">
        <v>17100.27</v>
      </c>
      <c r="T15" s="243">
        <v>17325.669999999998</v>
      </c>
      <c r="U15" s="263">
        <f t="shared" si="6"/>
        <v>197039.42499999999</v>
      </c>
      <c r="W15" s="264">
        <f t="shared" si="7"/>
        <v>1025.2832167832169</v>
      </c>
      <c r="X15" s="264">
        <f t="shared" si="8"/>
        <v>1028.251430387794</v>
      </c>
      <c r="Y15" s="264">
        <f t="shared" si="9"/>
        <v>1024.2450731087094</v>
      </c>
      <c r="Z15" s="264">
        <f t="shared" si="10"/>
        <v>1028.4961856325492</v>
      </c>
      <c r="AA15" s="264">
        <f t="shared" si="11"/>
        <v>1028.995867768595</v>
      </c>
      <c r="AB15" s="264">
        <f t="shared" si="12"/>
        <v>1032.9993642720915</v>
      </c>
      <c r="AC15" s="264">
        <f t="shared" si="13"/>
        <v>1023.9987285441831</v>
      </c>
      <c r="AD15" s="264">
        <f t="shared" si="14"/>
        <v>1031.0025429116338</v>
      </c>
      <c r="AE15" s="264">
        <f t="shared" si="15"/>
        <v>1021.0006357279084</v>
      </c>
      <c r="AF15" s="264">
        <f t="shared" si="16"/>
        <v>1023.8732142857142</v>
      </c>
      <c r="AG15" s="264">
        <f t="shared" si="17"/>
        <v>1017.8732142857143</v>
      </c>
      <c r="AH15" s="264">
        <f t="shared" si="18"/>
        <v>1031.2898809523808</v>
      </c>
      <c r="AI15" s="265">
        <f t="shared" si="19"/>
        <v>1026.4424462217073</v>
      </c>
      <c r="AJ15" s="266">
        <f t="shared" si="20"/>
        <v>12317.309354660489</v>
      </c>
      <c r="AM15" s="241">
        <v>1</v>
      </c>
      <c r="AN15" s="240">
        <f t="shared" si="1"/>
        <v>1026.4424462217073</v>
      </c>
      <c r="AO15" s="241">
        <v>0</v>
      </c>
      <c r="AP15" s="240">
        <f t="shared" si="2"/>
        <v>0</v>
      </c>
      <c r="AQ15" s="241">
        <v>0</v>
      </c>
      <c r="AR15" s="240">
        <f t="shared" si="3"/>
        <v>0</v>
      </c>
      <c r="AS15" s="241">
        <v>0</v>
      </c>
      <c r="AT15" s="240">
        <f t="shared" si="4"/>
        <v>0</v>
      </c>
    </row>
    <row r="16" spans="2:46" s="253" customFormat="1" x14ac:dyDescent="0.2">
      <c r="B16" s="241" t="str">
        <f t="shared" si="5"/>
        <v>WashresidentialWRG40MTHHEL</v>
      </c>
      <c r="C16" s="232" t="s">
        <v>927</v>
      </c>
      <c r="D16" s="232" t="s">
        <v>939</v>
      </c>
      <c r="E16" s="238">
        <v>5.83</v>
      </c>
      <c r="F16" s="238">
        <v>5.83</v>
      </c>
      <c r="G16" s="238">
        <v>6.23</v>
      </c>
      <c r="H16" s="261"/>
      <c r="I16" s="243">
        <v>23.32</v>
      </c>
      <c r="J16" s="243">
        <v>23.32</v>
      </c>
      <c r="K16" s="243">
        <v>23.32</v>
      </c>
      <c r="L16" s="243">
        <v>23.32</v>
      </c>
      <c r="M16" s="243">
        <v>23.32</v>
      </c>
      <c r="N16" s="243">
        <v>23.32</v>
      </c>
      <c r="O16" s="243">
        <v>23.32</v>
      </c>
      <c r="P16" s="243">
        <v>23.32</v>
      </c>
      <c r="Q16" s="243">
        <v>23.32</v>
      </c>
      <c r="R16" s="243">
        <v>24.92</v>
      </c>
      <c r="S16" s="243">
        <v>24.92</v>
      </c>
      <c r="T16" s="243">
        <v>18.690000000000001</v>
      </c>
      <c r="U16" s="263">
        <f t="shared" si="6"/>
        <v>278.40999999999997</v>
      </c>
      <c r="W16" s="264">
        <f t="shared" si="7"/>
        <v>4</v>
      </c>
      <c r="X16" s="264">
        <f t="shared" si="8"/>
        <v>4</v>
      </c>
      <c r="Y16" s="264">
        <f t="shared" si="9"/>
        <v>4</v>
      </c>
      <c r="Z16" s="264">
        <f t="shared" si="10"/>
        <v>4</v>
      </c>
      <c r="AA16" s="264">
        <f t="shared" si="11"/>
        <v>4</v>
      </c>
      <c r="AB16" s="264">
        <f t="shared" si="12"/>
        <v>4</v>
      </c>
      <c r="AC16" s="264">
        <f t="shared" si="13"/>
        <v>4</v>
      </c>
      <c r="AD16" s="264">
        <f t="shared" si="14"/>
        <v>4</v>
      </c>
      <c r="AE16" s="264">
        <f t="shared" si="15"/>
        <v>4</v>
      </c>
      <c r="AF16" s="264">
        <f t="shared" si="16"/>
        <v>4</v>
      </c>
      <c r="AG16" s="264">
        <f t="shared" si="17"/>
        <v>4</v>
      </c>
      <c r="AH16" s="264">
        <f t="shared" si="18"/>
        <v>3</v>
      </c>
      <c r="AI16" s="265">
        <f t="shared" si="19"/>
        <v>3.9166666666666665</v>
      </c>
      <c r="AJ16" s="266">
        <f t="shared" si="20"/>
        <v>47</v>
      </c>
      <c r="AM16" s="241">
        <v>1</v>
      </c>
      <c r="AN16" s="240">
        <f t="shared" si="1"/>
        <v>3.9166666666666665</v>
      </c>
      <c r="AO16" s="241">
        <v>0</v>
      </c>
      <c r="AP16" s="240">
        <f t="shared" si="2"/>
        <v>0</v>
      </c>
      <c r="AQ16" s="241">
        <v>0</v>
      </c>
      <c r="AR16" s="240">
        <f t="shared" si="3"/>
        <v>0</v>
      </c>
      <c r="AS16" s="241">
        <v>0</v>
      </c>
      <c r="AT16" s="240">
        <f t="shared" si="4"/>
        <v>0</v>
      </c>
    </row>
    <row r="17" spans="2:46" s="253" customFormat="1" x14ac:dyDescent="0.2">
      <c r="B17" s="241" t="str">
        <f t="shared" si="5"/>
        <v>WashresidentialWRG40MTH</v>
      </c>
      <c r="C17" s="232" t="s">
        <v>928</v>
      </c>
      <c r="D17" s="232" t="s">
        <v>940</v>
      </c>
      <c r="E17" s="238">
        <v>10.82</v>
      </c>
      <c r="F17" s="238">
        <v>10.82</v>
      </c>
      <c r="G17" s="238">
        <v>11.55</v>
      </c>
      <c r="H17" s="261"/>
      <c r="I17" s="243">
        <v>1494.51</v>
      </c>
      <c r="J17" s="243">
        <v>1493.16</v>
      </c>
      <c r="K17" s="243">
        <v>1449.88</v>
      </c>
      <c r="L17" s="243">
        <v>1498.5700000000002</v>
      </c>
      <c r="M17" s="243">
        <v>1487.7500000000002</v>
      </c>
      <c r="N17" s="243">
        <v>1503.98</v>
      </c>
      <c r="O17" s="243">
        <v>1493.1599999999999</v>
      </c>
      <c r="P17" s="243">
        <v>1479.635</v>
      </c>
      <c r="Q17" s="243">
        <v>1468.8150000000001</v>
      </c>
      <c r="R17" s="243">
        <v>1650.19</v>
      </c>
      <c r="S17" s="243">
        <v>1661.74</v>
      </c>
      <c r="T17" s="243">
        <v>1634.325</v>
      </c>
      <c r="U17" s="263">
        <f t="shared" si="6"/>
        <v>18315.715000000004</v>
      </c>
      <c r="W17" s="264">
        <f t="shared" si="7"/>
        <v>138.12476894639556</v>
      </c>
      <c r="X17" s="264">
        <f t="shared" si="8"/>
        <v>138</v>
      </c>
      <c r="Y17" s="264">
        <f t="shared" si="9"/>
        <v>134</v>
      </c>
      <c r="Z17" s="264">
        <f t="shared" si="10"/>
        <v>138.5</v>
      </c>
      <c r="AA17" s="264">
        <f t="shared" si="11"/>
        <v>137.50000000000003</v>
      </c>
      <c r="AB17" s="264">
        <f t="shared" si="12"/>
        <v>139</v>
      </c>
      <c r="AC17" s="264">
        <f t="shared" si="13"/>
        <v>137.99999999999997</v>
      </c>
      <c r="AD17" s="264">
        <f t="shared" si="14"/>
        <v>136.75</v>
      </c>
      <c r="AE17" s="264">
        <f t="shared" si="15"/>
        <v>135.75</v>
      </c>
      <c r="AF17" s="264">
        <f t="shared" si="16"/>
        <v>142.87359307359307</v>
      </c>
      <c r="AG17" s="264">
        <f t="shared" si="17"/>
        <v>143.87359307359307</v>
      </c>
      <c r="AH17" s="264">
        <f t="shared" si="18"/>
        <v>141.5</v>
      </c>
      <c r="AI17" s="265">
        <f t="shared" si="19"/>
        <v>138.65599625779848</v>
      </c>
      <c r="AJ17" s="266">
        <f t="shared" si="20"/>
        <v>1663.8719550935818</v>
      </c>
      <c r="AM17" s="241">
        <v>1</v>
      </c>
      <c r="AN17" s="240">
        <f t="shared" si="1"/>
        <v>138.65599625779848</v>
      </c>
      <c r="AO17" s="241">
        <v>0</v>
      </c>
      <c r="AP17" s="240">
        <f t="shared" si="2"/>
        <v>0</v>
      </c>
      <c r="AQ17" s="241">
        <v>0</v>
      </c>
      <c r="AR17" s="240">
        <f t="shared" si="3"/>
        <v>0</v>
      </c>
      <c r="AS17" s="241">
        <v>0</v>
      </c>
      <c r="AT17" s="240">
        <f t="shared" si="4"/>
        <v>0</v>
      </c>
    </row>
    <row r="18" spans="2:46" s="253" customFormat="1" x14ac:dyDescent="0.2">
      <c r="B18" s="241" t="str">
        <f t="shared" si="5"/>
        <v>WashresidentialWRG40WKHEL15</v>
      </c>
      <c r="C18" s="232" t="s">
        <v>929</v>
      </c>
      <c r="D18" s="232" t="s">
        <v>941</v>
      </c>
      <c r="E18" s="238">
        <v>6.99</v>
      </c>
      <c r="F18" s="238">
        <v>6.99</v>
      </c>
      <c r="G18" s="238">
        <v>7.47</v>
      </c>
      <c r="H18" s="261"/>
      <c r="I18" s="243">
        <v>50.68</v>
      </c>
      <c r="J18" s="243">
        <v>48.93</v>
      </c>
      <c r="K18" s="243">
        <v>48.93</v>
      </c>
      <c r="L18" s="243">
        <v>41.064999999999998</v>
      </c>
      <c r="M18" s="243">
        <v>41.064999999999998</v>
      </c>
      <c r="N18" s="243">
        <v>34.950000000000003</v>
      </c>
      <c r="O18" s="243">
        <v>34.950000000000003</v>
      </c>
      <c r="P18" s="243">
        <v>34.950000000000003</v>
      </c>
      <c r="Q18" s="243">
        <v>34.950000000000003</v>
      </c>
      <c r="R18" s="243">
        <v>37.35</v>
      </c>
      <c r="S18" s="243">
        <v>37.35</v>
      </c>
      <c r="T18" s="243">
        <v>29.88</v>
      </c>
      <c r="U18" s="263">
        <f t="shared" si="6"/>
        <v>475.05</v>
      </c>
      <c r="W18" s="264">
        <f t="shared" si="7"/>
        <v>7.2503576537911298</v>
      </c>
      <c r="X18" s="264">
        <f t="shared" si="8"/>
        <v>7</v>
      </c>
      <c r="Y18" s="264">
        <f t="shared" si="9"/>
        <v>7</v>
      </c>
      <c r="Z18" s="264">
        <f t="shared" si="10"/>
        <v>5.8748211731044346</v>
      </c>
      <c r="AA18" s="264">
        <f t="shared" si="11"/>
        <v>5.8748211731044346</v>
      </c>
      <c r="AB18" s="264">
        <f t="shared" si="12"/>
        <v>5</v>
      </c>
      <c r="AC18" s="264">
        <f t="shared" si="13"/>
        <v>5</v>
      </c>
      <c r="AD18" s="264">
        <f t="shared" si="14"/>
        <v>5</v>
      </c>
      <c r="AE18" s="264">
        <f t="shared" si="15"/>
        <v>5</v>
      </c>
      <c r="AF18" s="264">
        <f t="shared" si="16"/>
        <v>5</v>
      </c>
      <c r="AG18" s="264">
        <f t="shared" si="17"/>
        <v>5</v>
      </c>
      <c r="AH18" s="264">
        <f t="shared" si="18"/>
        <v>4</v>
      </c>
      <c r="AI18" s="265">
        <f t="shared" si="19"/>
        <v>5.583333333333333</v>
      </c>
      <c r="AJ18" s="266">
        <f t="shared" si="20"/>
        <v>67</v>
      </c>
      <c r="AM18" s="241">
        <v>1</v>
      </c>
      <c r="AN18" s="240">
        <f t="shared" si="1"/>
        <v>5.583333333333333</v>
      </c>
      <c r="AO18" s="241">
        <v>0</v>
      </c>
      <c r="AP18" s="240">
        <f t="shared" si="2"/>
        <v>0</v>
      </c>
      <c r="AQ18" s="241">
        <v>0</v>
      </c>
      <c r="AR18" s="240">
        <f t="shared" si="3"/>
        <v>0</v>
      </c>
      <c r="AS18" s="241">
        <v>0</v>
      </c>
      <c r="AT18" s="240">
        <f t="shared" si="4"/>
        <v>0</v>
      </c>
    </row>
    <row r="19" spans="2:46" s="253" customFormat="1" x14ac:dyDescent="0.2">
      <c r="B19" s="241" t="str">
        <f t="shared" si="5"/>
        <v>WashresidentialWRG40WKHEL20</v>
      </c>
      <c r="C19" s="232" t="s">
        <v>930</v>
      </c>
      <c r="D19" s="232" t="s">
        <v>942</v>
      </c>
      <c r="E19" s="238">
        <v>13.73</v>
      </c>
      <c r="F19" s="238">
        <v>13.73</v>
      </c>
      <c r="G19" s="238">
        <v>14.66</v>
      </c>
      <c r="H19" s="261"/>
      <c r="I19" s="243">
        <v>0</v>
      </c>
      <c r="J19" s="243">
        <v>0</v>
      </c>
      <c r="K19" s="243">
        <v>0</v>
      </c>
      <c r="L19" s="243">
        <v>0</v>
      </c>
      <c r="M19" s="243">
        <v>0</v>
      </c>
      <c r="N19" s="243">
        <v>0</v>
      </c>
      <c r="O19" s="243">
        <v>0</v>
      </c>
      <c r="P19" s="243">
        <v>0</v>
      </c>
      <c r="Q19" s="243">
        <v>0</v>
      </c>
      <c r="R19" s="243">
        <v>0</v>
      </c>
      <c r="S19" s="243">
        <v>0</v>
      </c>
      <c r="T19" s="243">
        <v>0</v>
      </c>
      <c r="U19" s="263">
        <f t="shared" si="6"/>
        <v>0</v>
      </c>
      <c r="W19" s="264">
        <f t="shared" si="7"/>
        <v>0</v>
      </c>
      <c r="X19" s="264">
        <f t="shared" si="8"/>
        <v>0</v>
      </c>
      <c r="Y19" s="264">
        <f t="shared" si="9"/>
        <v>0</v>
      </c>
      <c r="Z19" s="264">
        <f t="shared" si="10"/>
        <v>0</v>
      </c>
      <c r="AA19" s="264">
        <f t="shared" si="11"/>
        <v>0</v>
      </c>
      <c r="AB19" s="264">
        <f t="shared" si="12"/>
        <v>0</v>
      </c>
      <c r="AC19" s="264">
        <f t="shared" si="13"/>
        <v>0</v>
      </c>
      <c r="AD19" s="264">
        <f t="shared" si="14"/>
        <v>0</v>
      </c>
      <c r="AE19" s="264">
        <f t="shared" si="15"/>
        <v>0</v>
      </c>
      <c r="AF19" s="264">
        <f t="shared" si="16"/>
        <v>0</v>
      </c>
      <c r="AG19" s="264">
        <f t="shared" si="17"/>
        <v>0</v>
      </c>
      <c r="AH19" s="264">
        <f t="shared" si="18"/>
        <v>0</v>
      </c>
      <c r="AI19" s="265">
        <f t="shared" si="19"/>
        <v>0</v>
      </c>
      <c r="AJ19" s="266">
        <f t="shared" si="20"/>
        <v>0</v>
      </c>
      <c r="AM19" s="241">
        <v>1</v>
      </c>
      <c r="AN19" s="240">
        <f t="shared" si="1"/>
        <v>0</v>
      </c>
      <c r="AO19" s="241">
        <v>0</v>
      </c>
      <c r="AP19" s="240">
        <f t="shared" si="2"/>
        <v>0</v>
      </c>
      <c r="AQ19" s="241">
        <v>0</v>
      </c>
      <c r="AR19" s="240">
        <f t="shared" si="3"/>
        <v>0</v>
      </c>
      <c r="AS19" s="241">
        <v>0</v>
      </c>
      <c r="AT19" s="240">
        <f t="shared" si="4"/>
        <v>0</v>
      </c>
    </row>
    <row r="20" spans="2:46" s="253" customFormat="1" x14ac:dyDescent="0.2">
      <c r="B20" s="241" t="str">
        <f t="shared" si="5"/>
        <v>WashresidentialWRG40WKROL</v>
      </c>
      <c r="C20" s="232" t="s">
        <v>931</v>
      </c>
      <c r="D20" s="232" t="s">
        <v>943</v>
      </c>
      <c r="E20" s="238">
        <v>33.6</v>
      </c>
      <c r="F20" s="238">
        <v>33.6</v>
      </c>
      <c r="G20" s="238">
        <v>35.880000000000003</v>
      </c>
      <c r="H20" s="261"/>
      <c r="I20" s="243">
        <v>67.2</v>
      </c>
      <c r="J20" s="243">
        <v>33.6</v>
      </c>
      <c r="K20" s="243">
        <v>33.6</v>
      </c>
      <c r="L20" s="243">
        <v>33.6</v>
      </c>
      <c r="M20" s="243">
        <v>33.6</v>
      </c>
      <c r="N20" s="243">
        <v>67.2</v>
      </c>
      <c r="O20" s="243">
        <v>67.2</v>
      </c>
      <c r="P20" s="243">
        <v>67.2</v>
      </c>
      <c r="Q20" s="243">
        <v>67.2</v>
      </c>
      <c r="R20" s="243">
        <v>71.760000000000005</v>
      </c>
      <c r="S20" s="243">
        <v>71.760000000000005</v>
      </c>
      <c r="T20" s="243">
        <v>71.760000000000005</v>
      </c>
      <c r="U20" s="263">
        <f t="shared" si="6"/>
        <v>685.68</v>
      </c>
      <c r="W20" s="264">
        <f t="shared" si="7"/>
        <v>2</v>
      </c>
      <c r="X20" s="264">
        <f t="shared" si="8"/>
        <v>1</v>
      </c>
      <c r="Y20" s="264">
        <f t="shared" si="9"/>
        <v>1</v>
      </c>
      <c r="Z20" s="264">
        <f t="shared" si="10"/>
        <v>1</v>
      </c>
      <c r="AA20" s="264">
        <f t="shared" si="11"/>
        <v>1</v>
      </c>
      <c r="AB20" s="264">
        <f t="shared" si="12"/>
        <v>2</v>
      </c>
      <c r="AC20" s="264">
        <f t="shared" si="13"/>
        <v>2</v>
      </c>
      <c r="AD20" s="264">
        <f t="shared" si="14"/>
        <v>2</v>
      </c>
      <c r="AE20" s="264">
        <f t="shared" si="15"/>
        <v>2</v>
      </c>
      <c r="AF20" s="264">
        <f t="shared" si="16"/>
        <v>2</v>
      </c>
      <c r="AG20" s="264">
        <f t="shared" si="17"/>
        <v>2</v>
      </c>
      <c r="AH20" s="264">
        <f t="shared" si="18"/>
        <v>2</v>
      </c>
      <c r="AI20" s="265">
        <f t="shared" si="19"/>
        <v>1.6666666666666667</v>
      </c>
      <c r="AJ20" s="266">
        <f t="shared" si="20"/>
        <v>20</v>
      </c>
      <c r="AM20" s="241">
        <v>1</v>
      </c>
      <c r="AN20" s="240">
        <f t="shared" si="1"/>
        <v>1.6666666666666667</v>
      </c>
      <c r="AO20" s="241">
        <v>0</v>
      </c>
      <c r="AP20" s="240">
        <f t="shared" si="2"/>
        <v>0</v>
      </c>
      <c r="AQ20" s="241">
        <v>0</v>
      </c>
      <c r="AR20" s="240">
        <f t="shared" si="3"/>
        <v>0</v>
      </c>
      <c r="AS20" s="241">
        <v>0</v>
      </c>
      <c r="AT20" s="240">
        <f t="shared" si="4"/>
        <v>0</v>
      </c>
    </row>
    <row r="21" spans="2:46" s="253" customFormat="1" x14ac:dyDescent="0.2">
      <c r="B21" s="241" t="str">
        <f t="shared" si="5"/>
        <v>WashresidentialWRG40WK</v>
      </c>
      <c r="C21" s="232" t="s">
        <v>932</v>
      </c>
      <c r="D21" s="232" t="s">
        <v>944</v>
      </c>
      <c r="E21" s="238">
        <v>23.06</v>
      </c>
      <c r="F21" s="238">
        <v>23.06</v>
      </c>
      <c r="G21" s="238">
        <v>24.63</v>
      </c>
      <c r="H21" s="261"/>
      <c r="I21" s="243">
        <v>78960.84</v>
      </c>
      <c r="J21" s="243">
        <v>80306.25</v>
      </c>
      <c r="K21" s="243">
        <v>79795.944999999992</v>
      </c>
      <c r="L21" s="243">
        <v>80283.16</v>
      </c>
      <c r="M21" s="243">
        <v>79802.52</v>
      </c>
      <c r="N21" s="243">
        <v>80380.800000000003</v>
      </c>
      <c r="O21" s="243">
        <v>79712</v>
      </c>
      <c r="P21" s="243">
        <v>80113.465000000011</v>
      </c>
      <c r="Q21" s="243">
        <v>79920.145000000004</v>
      </c>
      <c r="R21" s="243">
        <v>85260.255000000005</v>
      </c>
      <c r="S21" s="243">
        <v>84884.955000000002</v>
      </c>
      <c r="T21" s="243">
        <v>84944.445000000007</v>
      </c>
      <c r="U21" s="263">
        <f t="shared" si="6"/>
        <v>974364.7799999998</v>
      </c>
      <c r="W21" s="264">
        <f t="shared" si="7"/>
        <v>3424.1474414570685</v>
      </c>
      <c r="X21" s="264">
        <f t="shared" si="8"/>
        <v>3482.4913269731137</v>
      </c>
      <c r="Y21" s="264">
        <f t="shared" si="9"/>
        <v>3460.3618820468341</v>
      </c>
      <c r="Z21" s="264">
        <f t="shared" si="10"/>
        <v>3481.4900260190811</v>
      </c>
      <c r="AA21" s="264">
        <f t="shared" si="11"/>
        <v>3460.6470078057246</v>
      </c>
      <c r="AB21" s="264">
        <f t="shared" si="12"/>
        <v>3485.7241977450135</v>
      </c>
      <c r="AC21" s="264">
        <f t="shared" si="13"/>
        <v>3456.7215958369475</v>
      </c>
      <c r="AD21" s="264">
        <f t="shared" si="14"/>
        <v>3474.1311795316574</v>
      </c>
      <c r="AE21" s="264">
        <f t="shared" si="15"/>
        <v>3465.7478317432788</v>
      </c>
      <c r="AF21" s="264">
        <f t="shared" si="16"/>
        <v>3461.6425091352012</v>
      </c>
      <c r="AG21" s="264">
        <f t="shared" si="17"/>
        <v>3446.4049939098663</v>
      </c>
      <c r="AH21" s="264">
        <f t="shared" si="18"/>
        <v>3448.8203410475035</v>
      </c>
      <c r="AI21" s="265">
        <f t="shared" si="19"/>
        <v>3462.3608611042746</v>
      </c>
      <c r="AJ21" s="266">
        <f t="shared" si="20"/>
        <v>41548.330333251295</v>
      </c>
      <c r="AM21" s="241">
        <v>1</v>
      </c>
      <c r="AN21" s="240">
        <f t="shared" si="1"/>
        <v>3462.3608611042746</v>
      </c>
      <c r="AO21" s="241">
        <v>0</v>
      </c>
      <c r="AP21" s="240">
        <f t="shared" si="2"/>
        <v>0</v>
      </c>
      <c r="AQ21" s="241">
        <v>0</v>
      </c>
      <c r="AR21" s="240">
        <f t="shared" si="3"/>
        <v>0</v>
      </c>
      <c r="AS21" s="241">
        <v>0</v>
      </c>
      <c r="AT21" s="240">
        <f t="shared" si="4"/>
        <v>0</v>
      </c>
    </row>
    <row r="22" spans="2:46" s="253" customFormat="1" x14ac:dyDescent="0.2">
      <c r="B22" s="241" t="str">
        <f t="shared" si="5"/>
        <v>WashresidentialWRG90WK</v>
      </c>
      <c r="C22" s="232" t="s">
        <v>933</v>
      </c>
      <c r="D22" s="232" t="s">
        <v>945</v>
      </c>
      <c r="E22" s="238">
        <v>43.37</v>
      </c>
      <c r="F22" s="238">
        <v>43.37</v>
      </c>
      <c r="G22" s="238">
        <v>46.3</v>
      </c>
      <c r="H22" s="261"/>
      <c r="I22" s="243">
        <v>39168.415000000001</v>
      </c>
      <c r="J22" s="243">
        <v>39070.834999999999</v>
      </c>
      <c r="K22" s="243">
        <v>39135.854999999996</v>
      </c>
      <c r="L22" s="243">
        <v>39553.370000000003</v>
      </c>
      <c r="M22" s="243">
        <v>39564.199999999997</v>
      </c>
      <c r="N22" s="243">
        <v>39602.25</v>
      </c>
      <c r="O22" s="243">
        <v>39504.480000000003</v>
      </c>
      <c r="P22" s="243">
        <v>39943.795000000006</v>
      </c>
      <c r="Q22" s="243">
        <v>39857.045000000006</v>
      </c>
      <c r="R22" s="243">
        <v>43728.715000000004</v>
      </c>
      <c r="S22" s="243">
        <v>43600.635000000002</v>
      </c>
      <c r="T22" s="243">
        <v>44120.445</v>
      </c>
      <c r="U22" s="263">
        <f t="shared" si="6"/>
        <v>486850.04</v>
      </c>
      <c r="W22" s="264">
        <f t="shared" si="7"/>
        <v>903.12231957574363</v>
      </c>
      <c r="X22" s="264">
        <f t="shared" si="8"/>
        <v>900.87237721927602</v>
      </c>
      <c r="Y22" s="264">
        <f t="shared" si="9"/>
        <v>902.37157020982238</v>
      </c>
      <c r="Z22" s="264">
        <f t="shared" si="10"/>
        <v>911.99838598109307</v>
      </c>
      <c r="AA22" s="264">
        <f t="shared" si="11"/>
        <v>912.24809776343091</v>
      </c>
      <c r="AB22" s="264">
        <f t="shared" si="12"/>
        <v>913.12543232649307</v>
      </c>
      <c r="AC22" s="264">
        <f t="shared" si="13"/>
        <v>910.8711090615634</v>
      </c>
      <c r="AD22" s="264">
        <f t="shared" si="14"/>
        <v>921.00057643532409</v>
      </c>
      <c r="AE22" s="264">
        <f t="shared" si="15"/>
        <v>919.00034586119455</v>
      </c>
      <c r="AF22" s="264">
        <f t="shared" si="16"/>
        <v>944.46468682505417</v>
      </c>
      <c r="AG22" s="264">
        <f t="shared" si="17"/>
        <v>941.69838012958974</v>
      </c>
      <c r="AH22" s="264">
        <f t="shared" si="18"/>
        <v>952.92537796976251</v>
      </c>
      <c r="AI22" s="265">
        <f t="shared" si="19"/>
        <v>919.47488827986251</v>
      </c>
      <c r="AJ22" s="266">
        <f t="shared" si="20"/>
        <v>11033.69865935835</v>
      </c>
      <c r="AM22" s="241">
        <v>1</v>
      </c>
      <c r="AN22" s="240">
        <f t="shared" si="1"/>
        <v>919.47488827986251</v>
      </c>
      <c r="AO22" s="241">
        <v>0</v>
      </c>
      <c r="AP22" s="240">
        <f t="shared" si="2"/>
        <v>0</v>
      </c>
      <c r="AQ22" s="241">
        <v>0</v>
      </c>
      <c r="AR22" s="240">
        <f t="shared" si="3"/>
        <v>0</v>
      </c>
      <c r="AS22" s="241">
        <v>0</v>
      </c>
      <c r="AT22" s="240">
        <f t="shared" si="4"/>
        <v>0</v>
      </c>
    </row>
    <row r="23" spans="2:46" s="253" customFormat="1" x14ac:dyDescent="0.2">
      <c r="B23" s="241" t="str">
        <f>"Wash"&amp;"residential"&amp;C23</f>
        <v>WashresidentialWRG90WKROL</v>
      </c>
      <c r="C23" s="232" t="s">
        <v>934</v>
      </c>
      <c r="D23" s="232" t="s">
        <v>946</v>
      </c>
      <c r="E23" s="238">
        <v>53.7</v>
      </c>
      <c r="F23" s="238">
        <v>53.7</v>
      </c>
      <c r="G23" s="238">
        <v>57.33</v>
      </c>
      <c r="H23" s="261"/>
      <c r="I23" s="243">
        <v>322.2</v>
      </c>
      <c r="J23" s="243">
        <v>268.5</v>
      </c>
      <c r="K23" s="243">
        <v>268.5</v>
      </c>
      <c r="L23" s="243">
        <v>295.35000000000002</v>
      </c>
      <c r="M23" s="243">
        <v>241.65000000000003</v>
      </c>
      <c r="N23" s="243">
        <v>268.5</v>
      </c>
      <c r="O23" s="243">
        <v>268.5</v>
      </c>
      <c r="P23" s="243">
        <v>268.5</v>
      </c>
      <c r="Q23" s="243">
        <v>268.5</v>
      </c>
      <c r="R23" s="243">
        <v>286.64999999999998</v>
      </c>
      <c r="S23" s="243">
        <v>286.64999999999998</v>
      </c>
      <c r="T23" s="243">
        <v>286.64999999999998</v>
      </c>
      <c r="U23" s="263">
        <f t="shared" si="6"/>
        <v>3330.1500000000005</v>
      </c>
      <c r="W23" s="264">
        <f t="shared" si="7"/>
        <v>5.9999999999999991</v>
      </c>
      <c r="X23" s="264">
        <f t="shared" si="8"/>
        <v>5</v>
      </c>
      <c r="Y23" s="264">
        <f t="shared" si="9"/>
        <v>5</v>
      </c>
      <c r="Z23" s="264">
        <f t="shared" si="10"/>
        <v>5.5</v>
      </c>
      <c r="AA23" s="264">
        <f t="shared" si="11"/>
        <v>4.5</v>
      </c>
      <c r="AB23" s="264">
        <f t="shared" si="12"/>
        <v>5</v>
      </c>
      <c r="AC23" s="264">
        <f t="shared" si="13"/>
        <v>5</v>
      </c>
      <c r="AD23" s="264">
        <f t="shared" si="14"/>
        <v>5</v>
      </c>
      <c r="AE23" s="264">
        <f t="shared" si="15"/>
        <v>5</v>
      </c>
      <c r="AF23" s="264">
        <f t="shared" si="16"/>
        <v>5</v>
      </c>
      <c r="AG23" s="264">
        <f t="shared" si="17"/>
        <v>5</v>
      </c>
      <c r="AH23" s="264">
        <f t="shared" si="18"/>
        <v>5</v>
      </c>
      <c r="AI23" s="265">
        <f t="shared" si="19"/>
        <v>5.083333333333333</v>
      </c>
      <c r="AJ23" s="266">
        <f t="shared" si="20"/>
        <v>61</v>
      </c>
      <c r="AM23" s="241">
        <v>1</v>
      </c>
      <c r="AN23" s="240">
        <f t="shared" si="1"/>
        <v>5.083333333333333</v>
      </c>
      <c r="AO23" s="241">
        <v>0</v>
      </c>
      <c r="AP23" s="240">
        <f t="shared" si="2"/>
        <v>0</v>
      </c>
      <c r="AQ23" s="241">
        <v>0</v>
      </c>
      <c r="AR23" s="240">
        <f t="shared" si="3"/>
        <v>0</v>
      </c>
      <c r="AS23" s="241">
        <v>0</v>
      </c>
      <c r="AT23" s="240">
        <f t="shared" si="4"/>
        <v>0</v>
      </c>
    </row>
    <row r="24" spans="2:46" s="253" customFormat="1" ht="15" x14ac:dyDescent="0.25">
      <c r="B24" s="241" t="str">
        <f>"Wash"&amp;"residential"&amp;C24</f>
        <v>WashresidentialWRG40MTHROL</v>
      </c>
      <c r="C24" s="249" t="s">
        <v>1098</v>
      </c>
      <c r="D24" s="249" t="s">
        <v>1099</v>
      </c>
      <c r="E24" s="238">
        <v>13.67</v>
      </c>
      <c r="F24" s="238">
        <v>13.67</v>
      </c>
      <c r="G24" s="238">
        <v>14.595000000000001</v>
      </c>
      <c r="H24" s="261"/>
      <c r="I24" s="243">
        <v>13.67</v>
      </c>
      <c r="J24" s="243">
        <v>6.835</v>
      </c>
      <c r="K24" s="243">
        <v>6.835</v>
      </c>
      <c r="L24" s="243">
        <v>13.67</v>
      </c>
      <c r="M24" s="243">
        <v>13.67</v>
      </c>
      <c r="N24" s="243">
        <v>13.67</v>
      </c>
      <c r="O24" s="243">
        <v>13.67</v>
      </c>
      <c r="P24" s="243">
        <v>13.67</v>
      </c>
      <c r="Q24" s="243">
        <v>13.67</v>
      </c>
      <c r="R24" s="243">
        <v>14.595000000000001</v>
      </c>
      <c r="S24" s="243">
        <v>14.595000000000001</v>
      </c>
      <c r="T24" s="243">
        <v>14.595000000000001</v>
      </c>
      <c r="U24" s="263">
        <f t="shared" si="6"/>
        <v>153.14500000000001</v>
      </c>
      <c r="W24" s="264">
        <f t="shared" si="7"/>
        <v>1</v>
      </c>
      <c r="X24" s="264">
        <f t="shared" si="8"/>
        <v>0.5</v>
      </c>
      <c r="Y24" s="264">
        <f t="shared" si="9"/>
        <v>0.5</v>
      </c>
      <c r="Z24" s="264">
        <f t="shared" si="10"/>
        <v>1</v>
      </c>
      <c r="AA24" s="264">
        <f t="shared" si="11"/>
        <v>1</v>
      </c>
      <c r="AB24" s="264">
        <f t="shared" si="12"/>
        <v>1</v>
      </c>
      <c r="AC24" s="264">
        <f t="shared" si="13"/>
        <v>1</v>
      </c>
      <c r="AD24" s="264">
        <f t="shared" si="14"/>
        <v>1</v>
      </c>
      <c r="AE24" s="264">
        <f t="shared" si="15"/>
        <v>1</v>
      </c>
      <c r="AF24" s="264">
        <f t="shared" si="16"/>
        <v>1</v>
      </c>
      <c r="AG24" s="264">
        <f t="shared" si="17"/>
        <v>1</v>
      </c>
      <c r="AH24" s="264">
        <f t="shared" si="18"/>
        <v>1</v>
      </c>
      <c r="AI24" s="265">
        <f t="shared" si="19"/>
        <v>0.91666666666666663</v>
      </c>
      <c r="AJ24" s="266">
        <f t="shared" si="20"/>
        <v>11</v>
      </c>
      <c r="AM24" s="241">
        <v>1</v>
      </c>
      <c r="AN24" s="240">
        <f t="shared" si="1"/>
        <v>0.91666666666666663</v>
      </c>
      <c r="AO24" s="241">
        <v>0</v>
      </c>
      <c r="AP24" s="240">
        <f t="shared" si="2"/>
        <v>0</v>
      </c>
      <c r="AQ24" s="241">
        <v>0</v>
      </c>
      <c r="AR24" s="240">
        <f t="shared" si="3"/>
        <v>0</v>
      </c>
      <c r="AS24" s="241">
        <v>0</v>
      </c>
      <c r="AT24" s="240">
        <f t="shared" si="4"/>
        <v>0</v>
      </c>
    </row>
    <row r="25" spans="2:46" s="253" customFormat="1" x14ac:dyDescent="0.2">
      <c r="B25" s="241" t="str">
        <f>"Wash"&amp;"residential"&amp;C25</f>
        <v>WashresidentialVRA96W</v>
      </c>
      <c r="C25" s="232" t="s">
        <v>748</v>
      </c>
      <c r="D25" s="232" t="s">
        <v>773</v>
      </c>
      <c r="E25" s="238">
        <v>68.67</v>
      </c>
      <c r="F25" s="238">
        <v>68.67</v>
      </c>
      <c r="G25" s="238">
        <v>68.67</v>
      </c>
      <c r="H25" s="261"/>
      <c r="I25" s="243">
        <v>0</v>
      </c>
      <c r="J25" s="243">
        <v>0</v>
      </c>
      <c r="K25" s="243">
        <v>0</v>
      </c>
      <c r="L25" s="243">
        <v>0</v>
      </c>
      <c r="M25" s="243">
        <v>0</v>
      </c>
      <c r="N25" s="243">
        <v>0</v>
      </c>
      <c r="O25" s="243">
        <v>0</v>
      </c>
      <c r="P25" s="243">
        <v>0</v>
      </c>
      <c r="Q25" s="243">
        <v>17.100000000000001</v>
      </c>
      <c r="R25" s="243">
        <v>0</v>
      </c>
      <c r="S25" s="243">
        <v>0</v>
      </c>
      <c r="T25" s="243">
        <v>0</v>
      </c>
      <c r="U25" s="263">
        <f>SUM(I25:T25)</f>
        <v>17.100000000000001</v>
      </c>
      <c r="W25" s="264">
        <f t="shared" si="7"/>
        <v>0</v>
      </c>
      <c r="X25" s="264">
        <f t="shared" si="8"/>
        <v>0</v>
      </c>
      <c r="Y25" s="264">
        <f t="shared" si="9"/>
        <v>0</v>
      </c>
      <c r="Z25" s="264">
        <f t="shared" si="10"/>
        <v>0</v>
      </c>
      <c r="AA25" s="264">
        <f t="shared" si="11"/>
        <v>0</v>
      </c>
      <c r="AB25" s="264">
        <f t="shared" si="12"/>
        <v>0</v>
      </c>
      <c r="AC25" s="264">
        <f t="shared" si="13"/>
        <v>0</v>
      </c>
      <c r="AD25" s="264">
        <f t="shared" si="14"/>
        <v>0</v>
      </c>
      <c r="AE25" s="264">
        <f t="shared" si="15"/>
        <v>0.24901703800786371</v>
      </c>
      <c r="AF25" s="264">
        <f t="shared" si="16"/>
        <v>0</v>
      </c>
      <c r="AG25" s="264">
        <f t="shared" si="17"/>
        <v>0</v>
      </c>
      <c r="AH25" s="264">
        <f t="shared" si="18"/>
        <v>0</v>
      </c>
      <c r="AI25" s="265">
        <f t="shared" si="19"/>
        <v>2.0751419833988642E-2</v>
      </c>
      <c r="AJ25" s="266">
        <f>SUM(W25:AH25)</f>
        <v>0.24901703800786371</v>
      </c>
      <c r="AM25" s="241">
        <v>1</v>
      </c>
      <c r="AN25" s="240">
        <f t="shared" si="1"/>
        <v>2.0751419833988642E-2</v>
      </c>
      <c r="AO25" s="241">
        <v>0</v>
      </c>
      <c r="AP25" s="240">
        <f t="shared" si="2"/>
        <v>0</v>
      </c>
      <c r="AQ25" s="241">
        <v>0</v>
      </c>
      <c r="AR25" s="240">
        <f t="shared" si="3"/>
        <v>0</v>
      </c>
      <c r="AS25" s="241">
        <v>0</v>
      </c>
      <c r="AT25" s="240">
        <f>+$AI25*AS25</f>
        <v>0</v>
      </c>
    </row>
    <row r="26" spans="2:46" s="253" customFormat="1" x14ac:dyDescent="0.2">
      <c r="B26" s="241" t="str">
        <f>"Wash"&amp;"residential"&amp;C26</f>
        <v>WashresidentialCR32w1</v>
      </c>
      <c r="C26" s="232" t="s">
        <v>1321</v>
      </c>
      <c r="D26" s="232" t="s">
        <v>83</v>
      </c>
      <c r="E26" s="238">
        <v>0</v>
      </c>
      <c r="F26" s="238">
        <v>0</v>
      </c>
      <c r="G26" s="238">
        <v>0</v>
      </c>
      <c r="H26" s="261"/>
      <c r="I26" s="243">
        <v>0</v>
      </c>
      <c r="J26" s="243">
        <v>0</v>
      </c>
      <c r="K26" s="243">
        <v>0</v>
      </c>
      <c r="L26" s="243">
        <v>0</v>
      </c>
      <c r="M26" s="243">
        <v>0</v>
      </c>
      <c r="N26" s="243">
        <v>0</v>
      </c>
      <c r="O26" s="243">
        <v>0</v>
      </c>
      <c r="P26" s="243">
        <v>0</v>
      </c>
      <c r="Q26" s="243">
        <v>0</v>
      </c>
      <c r="R26" s="243">
        <v>0</v>
      </c>
      <c r="S26" s="243">
        <v>0</v>
      </c>
      <c r="T26" s="243">
        <v>0</v>
      </c>
      <c r="U26" s="263">
        <f t="shared" si="6"/>
        <v>0</v>
      </c>
      <c r="W26" s="264">
        <f t="shared" si="7"/>
        <v>0</v>
      </c>
      <c r="X26" s="264">
        <f t="shared" si="8"/>
        <v>0</v>
      </c>
      <c r="Y26" s="264">
        <f t="shared" si="9"/>
        <v>0</v>
      </c>
      <c r="Z26" s="264">
        <f t="shared" si="10"/>
        <v>0</v>
      </c>
      <c r="AA26" s="264">
        <f t="shared" si="11"/>
        <v>0</v>
      </c>
      <c r="AB26" s="264">
        <f t="shared" si="12"/>
        <v>0</v>
      </c>
      <c r="AC26" s="264">
        <f t="shared" si="13"/>
        <v>0</v>
      </c>
      <c r="AD26" s="264">
        <f t="shared" si="14"/>
        <v>0</v>
      </c>
      <c r="AE26" s="264">
        <f t="shared" si="15"/>
        <v>0</v>
      </c>
      <c r="AF26" s="264">
        <f t="shared" si="16"/>
        <v>0</v>
      </c>
      <c r="AG26" s="264">
        <f t="shared" si="17"/>
        <v>0</v>
      </c>
      <c r="AH26" s="264">
        <f t="shared" si="18"/>
        <v>0</v>
      </c>
      <c r="AI26" s="265">
        <f t="shared" si="19"/>
        <v>0</v>
      </c>
      <c r="AJ26" s="266">
        <f t="shared" si="20"/>
        <v>0</v>
      </c>
      <c r="AM26" s="241">
        <v>1</v>
      </c>
      <c r="AN26" s="240">
        <f t="shared" si="1"/>
        <v>0</v>
      </c>
      <c r="AO26" s="241">
        <v>0</v>
      </c>
      <c r="AP26" s="240">
        <f t="shared" si="2"/>
        <v>0</v>
      </c>
      <c r="AQ26" s="241">
        <v>0</v>
      </c>
      <c r="AR26" s="240">
        <f t="shared" si="3"/>
        <v>0</v>
      </c>
      <c r="AS26" s="241">
        <v>0</v>
      </c>
      <c r="AT26" s="240">
        <f t="shared" si="4"/>
        <v>0</v>
      </c>
    </row>
    <row r="27" spans="2:46" s="45" customFormat="1" x14ac:dyDescent="0.2">
      <c r="B27" s="1" t="str">
        <f>"Wash"&amp;"residential Extras"&amp;C27</f>
        <v>Washresidential ExtrasWBMISC</v>
      </c>
      <c r="C27" s="58" t="s">
        <v>75</v>
      </c>
      <c r="D27" s="58" t="s">
        <v>107</v>
      </c>
      <c r="E27" s="11">
        <v>30.39</v>
      </c>
      <c r="F27" s="11">
        <v>30.39</v>
      </c>
      <c r="G27" s="11">
        <v>32.450000000000003</v>
      </c>
      <c r="H27" s="55"/>
      <c r="I27" s="14">
        <v>182.34</v>
      </c>
      <c r="J27" s="14">
        <v>121.56</v>
      </c>
      <c r="K27" s="14">
        <v>303.89999999999998</v>
      </c>
      <c r="L27" s="14">
        <v>60.78</v>
      </c>
      <c r="M27" s="14">
        <v>60.78</v>
      </c>
      <c r="N27" s="14">
        <v>121.56</v>
      </c>
      <c r="O27" s="14">
        <v>182.34</v>
      </c>
      <c r="P27" s="14">
        <v>220.89</v>
      </c>
      <c r="Q27" s="14">
        <v>-30.39</v>
      </c>
      <c r="R27" s="14">
        <v>162.25</v>
      </c>
      <c r="S27" s="14">
        <v>97.35</v>
      </c>
      <c r="T27" s="14">
        <v>162.25</v>
      </c>
      <c r="U27" s="73">
        <f t="shared" si="6"/>
        <v>1645.6099999999994</v>
      </c>
      <c r="W27" s="49">
        <f t="shared" si="7"/>
        <v>6</v>
      </c>
      <c r="X27" s="49">
        <f t="shared" si="8"/>
        <v>4</v>
      </c>
      <c r="Y27" s="49">
        <f t="shared" si="9"/>
        <v>9.9999999999999982</v>
      </c>
      <c r="Z27" s="49">
        <f t="shared" si="10"/>
        <v>2</v>
      </c>
      <c r="AA27" s="49">
        <f t="shared" si="11"/>
        <v>2</v>
      </c>
      <c r="AB27" s="49">
        <f t="shared" si="12"/>
        <v>4</v>
      </c>
      <c r="AC27" s="49">
        <f t="shared" si="13"/>
        <v>6</v>
      </c>
      <c r="AD27" s="49">
        <f t="shared" si="14"/>
        <v>7.2685093780848957</v>
      </c>
      <c r="AE27" s="49">
        <f t="shared" si="15"/>
        <v>-1</v>
      </c>
      <c r="AF27" s="49">
        <f t="shared" si="16"/>
        <v>5</v>
      </c>
      <c r="AG27" s="49">
        <f t="shared" si="17"/>
        <v>2.9999999999999996</v>
      </c>
      <c r="AH27" s="49">
        <f t="shared" si="18"/>
        <v>5</v>
      </c>
      <c r="AI27" s="47">
        <f t="shared" si="19"/>
        <v>4.4390424481737414</v>
      </c>
      <c r="AJ27" s="134">
        <f t="shared" si="20"/>
        <v>53.268509378084893</v>
      </c>
    </row>
    <row r="28" spans="2:46" s="45" customFormat="1" x14ac:dyDescent="0.2">
      <c r="B28" s="1" t="str">
        <f>"Wash"&amp;"Accounting"&amp;C28</f>
        <v>WashAccountingRETCKC</v>
      </c>
      <c r="C28" s="58" t="s">
        <v>1015</v>
      </c>
      <c r="D28" s="58" t="s">
        <v>1016</v>
      </c>
      <c r="E28" s="55">
        <v>0</v>
      </c>
      <c r="F28" s="55">
        <v>0</v>
      </c>
      <c r="G28" s="11">
        <v>0</v>
      </c>
      <c r="H28" s="55"/>
      <c r="I28" s="14">
        <v>50</v>
      </c>
      <c r="J28" s="14">
        <v>0</v>
      </c>
      <c r="K28" s="14">
        <v>50</v>
      </c>
      <c r="L28" s="14">
        <v>25</v>
      </c>
      <c r="M28" s="14">
        <v>-25</v>
      </c>
      <c r="N28" s="14">
        <v>25</v>
      </c>
      <c r="O28" s="14">
        <v>0</v>
      </c>
      <c r="P28" s="14">
        <v>50</v>
      </c>
      <c r="Q28" s="14">
        <v>0</v>
      </c>
      <c r="R28" s="14">
        <v>0</v>
      </c>
      <c r="S28" s="14">
        <v>0</v>
      </c>
      <c r="T28" s="14">
        <v>0</v>
      </c>
      <c r="U28" s="73">
        <f>SUM(I28:T28)</f>
        <v>175</v>
      </c>
      <c r="W28" s="48">
        <f t="shared" si="7"/>
        <v>0</v>
      </c>
      <c r="X28" s="48">
        <f t="shared" si="8"/>
        <v>0</v>
      </c>
      <c r="Y28" s="48">
        <f t="shared" si="9"/>
        <v>0</v>
      </c>
      <c r="Z28" s="48">
        <f t="shared" si="10"/>
        <v>0</v>
      </c>
      <c r="AA28" s="48">
        <f t="shared" si="11"/>
        <v>0</v>
      </c>
      <c r="AB28" s="48">
        <f t="shared" si="12"/>
        <v>0</v>
      </c>
      <c r="AC28" s="48">
        <f t="shared" si="13"/>
        <v>0</v>
      </c>
      <c r="AD28" s="48">
        <f t="shared" si="14"/>
        <v>0</v>
      </c>
      <c r="AE28" s="48">
        <f t="shared" si="15"/>
        <v>0</v>
      </c>
      <c r="AF28" s="48">
        <f t="shared" si="16"/>
        <v>0</v>
      </c>
      <c r="AG28" s="48">
        <f t="shared" si="17"/>
        <v>0</v>
      </c>
      <c r="AH28" s="48">
        <f t="shared" si="18"/>
        <v>0</v>
      </c>
      <c r="AI28" s="40"/>
    </row>
    <row r="29" spans="2:46" s="45" customFormat="1" x14ac:dyDescent="0.2">
      <c r="B29" s="1" t="str">
        <f t="shared" ref="B29:B43" si="21">"Wash"&amp;"residential Extras"&amp;C29</f>
        <v>Washresidential ExtrasWBCHAIR</v>
      </c>
      <c r="C29" s="58" t="s">
        <v>76</v>
      </c>
      <c r="D29" s="58" t="s">
        <v>108</v>
      </c>
      <c r="E29" s="11">
        <v>15.18</v>
      </c>
      <c r="F29" s="11">
        <v>15.18</v>
      </c>
      <c r="G29" s="11">
        <v>16.2</v>
      </c>
      <c r="H29" s="55"/>
      <c r="I29" s="14">
        <v>45.54</v>
      </c>
      <c r="J29" s="14">
        <v>45.54</v>
      </c>
      <c r="K29" s="14">
        <v>0</v>
      </c>
      <c r="L29" s="14">
        <v>15.18</v>
      </c>
      <c r="M29" s="14">
        <v>30.36</v>
      </c>
      <c r="N29" s="14">
        <v>30.36</v>
      </c>
      <c r="O29" s="14">
        <v>91.08</v>
      </c>
      <c r="P29" s="14">
        <v>0</v>
      </c>
      <c r="Q29" s="14">
        <v>75.900000000000006</v>
      </c>
      <c r="R29" s="14">
        <v>15.18</v>
      </c>
      <c r="S29" s="14">
        <v>0</v>
      </c>
      <c r="T29" s="14">
        <v>16.2</v>
      </c>
      <c r="U29" s="73">
        <f t="shared" si="6"/>
        <v>365.34000000000003</v>
      </c>
      <c r="W29" s="49">
        <f t="shared" si="7"/>
        <v>3</v>
      </c>
      <c r="X29" s="49">
        <f t="shared" si="8"/>
        <v>3</v>
      </c>
      <c r="Y29" s="49">
        <f t="shared" si="9"/>
        <v>0</v>
      </c>
      <c r="Z29" s="49">
        <f t="shared" si="10"/>
        <v>1</v>
      </c>
      <c r="AA29" s="49">
        <f t="shared" si="11"/>
        <v>2</v>
      </c>
      <c r="AB29" s="49">
        <f t="shared" si="12"/>
        <v>2</v>
      </c>
      <c r="AC29" s="49">
        <f t="shared" si="13"/>
        <v>6</v>
      </c>
      <c r="AD29" s="49">
        <f t="shared" si="14"/>
        <v>0</v>
      </c>
      <c r="AE29" s="49">
        <f t="shared" si="15"/>
        <v>5.0000000000000009</v>
      </c>
      <c r="AF29" s="49">
        <f t="shared" si="16"/>
        <v>0.93703703703703711</v>
      </c>
      <c r="AG29" s="49">
        <f t="shared" si="17"/>
        <v>0</v>
      </c>
      <c r="AH29" s="49">
        <f t="shared" si="18"/>
        <v>1</v>
      </c>
      <c r="AI29" s="47">
        <f t="shared" si="19"/>
        <v>1.9947530864197531</v>
      </c>
      <c r="AJ29" s="134">
        <f t="shared" si="20"/>
        <v>23.937037037037037</v>
      </c>
    </row>
    <row r="30" spans="2:46" s="45" customFormat="1" x14ac:dyDescent="0.2">
      <c r="B30" s="1" t="str">
        <f t="shared" si="21"/>
        <v>Washresidential ExtrasRREXC</v>
      </c>
      <c r="C30" s="58" t="s">
        <v>59</v>
      </c>
      <c r="D30" s="58" t="s">
        <v>91</v>
      </c>
      <c r="E30" s="11">
        <v>10.53</v>
      </c>
      <c r="F30" s="11">
        <v>10.53</v>
      </c>
      <c r="G30" s="11">
        <v>11.24</v>
      </c>
      <c r="H30" s="55"/>
      <c r="I30" s="14">
        <v>2886.46</v>
      </c>
      <c r="J30" s="14">
        <v>4655.5</v>
      </c>
      <c r="K30" s="14">
        <v>4001.4</v>
      </c>
      <c r="L30" s="14">
        <v>4285.71</v>
      </c>
      <c r="M30" s="14">
        <v>5096.5200000000004</v>
      </c>
      <c r="N30" s="14">
        <v>3769.74</v>
      </c>
      <c r="O30" s="14">
        <v>2916.81</v>
      </c>
      <c r="P30" s="14">
        <v>4633.2</v>
      </c>
      <c r="Q30" s="14">
        <v>3180.06</v>
      </c>
      <c r="R30" s="14">
        <v>4262.4399999999996</v>
      </c>
      <c r="S30" s="14">
        <v>3127.56</v>
      </c>
      <c r="T30" s="14">
        <v>3832.8399999999997</v>
      </c>
      <c r="U30" s="73">
        <f t="shared" si="6"/>
        <v>46648.24</v>
      </c>
      <c r="W30" s="49">
        <f t="shared" si="7"/>
        <v>274.11775878442546</v>
      </c>
      <c r="X30" s="49">
        <f t="shared" si="8"/>
        <v>442.11775878442546</v>
      </c>
      <c r="Y30" s="49">
        <f t="shared" si="9"/>
        <v>380.00000000000006</v>
      </c>
      <c r="Z30" s="49">
        <f t="shared" si="10"/>
        <v>407</v>
      </c>
      <c r="AA30" s="49">
        <f t="shared" si="11"/>
        <v>484.00000000000006</v>
      </c>
      <c r="AB30" s="49">
        <f t="shared" si="12"/>
        <v>358</v>
      </c>
      <c r="AC30" s="49">
        <f t="shared" si="13"/>
        <v>277</v>
      </c>
      <c r="AD30" s="49">
        <f t="shared" si="14"/>
        <v>440</v>
      </c>
      <c r="AE30" s="49">
        <f t="shared" si="15"/>
        <v>302</v>
      </c>
      <c r="AF30" s="49">
        <f t="shared" si="16"/>
        <v>379.22064056939496</v>
      </c>
      <c r="AG30" s="49">
        <f t="shared" si="17"/>
        <v>278.25266903914587</v>
      </c>
      <c r="AH30" s="49">
        <f t="shared" si="18"/>
        <v>340.99999999999994</v>
      </c>
      <c r="AI30" s="47">
        <f t="shared" si="19"/>
        <v>363.5590689314493</v>
      </c>
      <c r="AJ30" s="134">
        <f t="shared" si="20"/>
        <v>4362.7088271773919</v>
      </c>
    </row>
    <row r="31" spans="2:46" s="45" customFormat="1" x14ac:dyDescent="0.2">
      <c r="B31" s="1" t="str">
        <f t="shared" si="21"/>
        <v>Washresidential ExtrasWBMATT</v>
      </c>
      <c r="C31" s="58" t="s">
        <v>78</v>
      </c>
      <c r="D31" s="58" t="s">
        <v>110</v>
      </c>
      <c r="E31" s="11">
        <v>22.79</v>
      </c>
      <c r="F31" s="11">
        <v>22.79</v>
      </c>
      <c r="G31" s="11">
        <v>24.33</v>
      </c>
      <c r="H31" s="55"/>
      <c r="I31" s="14">
        <v>68.37</v>
      </c>
      <c r="J31" s="14">
        <v>91.16</v>
      </c>
      <c r="K31" s="14">
        <v>91.16</v>
      </c>
      <c r="L31" s="14">
        <v>91.16</v>
      </c>
      <c r="M31" s="14">
        <v>91.16</v>
      </c>
      <c r="N31" s="14">
        <v>281.08</v>
      </c>
      <c r="O31" s="14">
        <v>22.79</v>
      </c>
      <c r="P31" s="14">
        <v>159.53</v>
      </c>
      <c r="Q31" s="14">
        <v>22.79</v>
      </c>
      <c r="R31" s="14">
        <v>72.989999999999995</v>
      </c>
      <c r="S31" s="14">
        <v>72.989999999999995</v>
      </c>
      <c r="T31" s="14">
        <v>24.33</v>
      </c>
      <c r="U31" s="73">
        <f t="shared" si="6"/>
        <v>1089.5099999999998</v>
      </c>
      <c r="W31" s="49">
        <f t="shared" si="7"/>
        <v>3.0000000000000004</v>
      </c>
      <c r="X31" s="49">
        <f t="shared" si="8"/>
        <v>4</v>
      </c>
      <c r="Y31" s="49">
        <f t="shared" si="9"/>
        <v>4</v>
      </c>
      <c r="Z31" s="49">
        <f t="shared" si="10"/>
        <v>4</v>
      </c>
      <c r="AA31" s="49">
        <f t="shared" si="11"/>
        <v>4</v>
      </c>
      <c r="AB31" s="49">
        <f t="shared" si="12"/>
        <v>12.333479596314172</v>
      </c>
      <c r="AC31" s="49">
        <f t="shared" si="13"/>
        <v>1</v>
      </c>
      <c r="AD31" s="49">
        <f t="shared" si="14"/>
        <v>7</v>
      </c>
      <c r="AE31" s="49">
        <f t="shared" si="15"/>
        <v>1</v>
      </c>
      <c r="AF31" s="49">
        <f t="shared" si="16"/>
        <v>3</v>
      </c>
      <c r="AG31" s="49">
        <f t="shared" si="17"/>
        <v>3</v>
      </c>
      <c r="AH31" s="49">
        <f t="shared" si="18"/>
        <v>1</v>
      </c>
      <c r="AI31" s="47">
        <f t="shared" si="19"/>
        <v>3.944456633026181</v>
      </c>
      <c r="AJ31" s="134">
        <f t="shared" si="20"/>
        <v>47.33347959631417</v>
      </c>
    </row>
    <row r="32" spans="2:46" s="45" customFormat="1" x14ac:dyDescent="0.2">
      <c r="B32" s="1" t="str">
        <f t="shared" si="21"/>
        <v>Washresidential ExtrasCOFOW</v>
      </c>
      <c r="C32" s="58" t="s">
        <v>676</v>
      </c>
      <c r="D32" s="58" t="s">
        <v>93</v>
      </c>
      <c r="E32" s="11">
        <v>10.53</v>
      </c>
      <c r="F32" s="11">
        <v>10.53</v>
      </c>
      <c r="G32" s="11">
        <v>11.24</v>
      </c>
      <c r="H32" s="55"/>
      <c r="I32" s="14">
        <v>0</v>
      </c>
      <c r="J32" s="14">
        <v>10.53</v>
      </c>
      <c r="K32" s="14">
        <v>0</v>
      </c>
      <c r="L32" s="14">
        <v>0</v>
      </c>
      <c r="M32" s="14">
        <v>0</v>
      </c>
      <c r="N32" s="14">
        <v>0</v>
      </c>
      <c r="O32" s="14">
        <v>0</v>
      </c>
      <c r="P32" s="14">
        <v>0</v>
      </c>
      <c r="Q32" s="14">
        <v>0</v>
      </c>
      <c r="R32" s="14">
        <v>0</v>
      </c>
      <c r="S32" s="14">
        <v>11.24</v>
      </c>
      <c r="T32" s="14">
        <v>0</v>
      </c>
      <c r="U32" s="73">
        <f t="shared" si="6"/>
        <v>21.77</v>
      </c>
      <c r="W32" s="49">
        <f t="shared" si="7"/>
        <v>0</v>
      </c>
      <c r="X32" s="49">
        <f t="shared" si="8"/>
        <v>1</v>
      </c>
      <c r="Y32" s="49">
        <f t="shared" si="9"/>
        <v>0</v>
      </c>
      <c r="Z32" s="49">
        <f t="shared" si="10"/>
        <v>0</v>
      </c>
      <c r="AA32" s="49">
        <f t="shared" si="11"/>
        <v>0</v>
      </c>
      <c r="AB32" s="49">
        <f t="shared" si="12"/>
        <v>0</v>
      </c>
      <c r="AC32" s="49">
        <f t="shared" si="13"/>
        <v>0</v>
      </c>
      <c r="AD32" s="49">
        <f t="shared" si="14"/>
        <v>0</v>
      </c>
      <c r="AE32" s="49">
        <f t="shared" si="15"/>
        <v>0</v>
      </c>
      <c r="AF32" s="49">
        <f t="shared" si="16"/>
        <v>0</v>
      </c>
      <c r="AG32" s="49">
        <f t="shared" si="17"/>
        <v>1</v>
      </c>
      <c r="AH32" s="49">
        <f t="shared" si="18"/>
        <v>0</v>
      </c>
      <c r="AI32" s="47">
        <f t="shared" si="19"/>
        <v>0.16666666666666666</v>
      </c>
      <c r="AJ32" s="134">
        <f t="shared" si="20"/>
        <v>2</v>
      </c>
    </row>
    <row r="33" spans="2:46" s="45" customFormat="1" x14ac:dyDescent="0.2">
      <c r="B33" s="1" t="str">
        <f t="shared" si="21"/>
        <v>Washresidential ExtrasROFOW</v>
      </c>
      <c r="C33" s="58" t="s">
        <v>61</v>
      </c>
      <c r="D33" s="58" t="s">
        <v>93</v>
      </c>
      <c r="E33" s="11">
        <v>10.53</v>
      </c>
      <c r="F33" s="11">
        <v>10.53</v>
      </c>
      <c r="G33" s="11">
        <v>11.24</v>
      </c>
      <c r="H33" s="55"/>
      <c r="I33" s="14">
        <v>747.63</v>
      </c>
      <c r="J33" s="14">
        <v>1074.06</v>
      </c>
      <c r="K33" s="14">
        <v>979.29</v>
      </c>
      <c r="L33" s="14">
        <v>1053</v>
      </c>
      <c r="M33" s="14">
        <v>1084.77</v>
      </c>
      <c r="N33" s="14">
        <v>1232.01</v>
      </c>
      <c r="O33" s="14">
        <v>673.92</v>
      </c>
      <c r="P33" s="14">
        <v>1137.24</v>
      </c>
      <c r="Q33" s="14">
        <v>663.39</v>
      </c>
      <c r="R33" s="14">
        <v>402.51</v>
      </c>
      <c r="S33" s="14">
        <v>765.74</v>
      </c>
      <c r="T33" s="14">
        <v>618.20000000000005</v>
      </c>
      <c r="U33" s="73">
        <f t="shared" si="6"/>
        <v>10431.76</v>
      </c>
      <c r="W33" s="49">
        <f t="shared" si="7"/>
        <v>71</v>
      </c>
      <c r="X33" s="49">
        <f t="shared" si="8"/>
        <v>102</v>
      </c>
      <c r="Y33" s="49">
        <f t="shared" si="9"/>
        <v>93</v>
      </c>
      <c r="Z33" s="49">
        <f t="shared" si="10"/>
        <v>100</v>
      </c>
      <c r="AA33" s="49">
        <f t="shared" si="11"/>
        <v>103.01709401709402</v>
      </c>
      <c r="AB33" s="49">
        <f t="shared" si="12"/>
        <v>117</v>
      </c>
      <c r="AC33" s="49">
        <f t="shared" si="13"/>
        <v>64</v>
      </c>
      <c r="AD33" s="49">
        <f t="shared" si="14"/>
        <v>108.00000000000001</v>
      </c>
      <c r="AE33" s="49">
        <f t="shared" si="15"/>
        <v>63</v>
      </c>
      <c r="AF33" s="49">
        <f t="shared" si="16"/>
        <v>35.810498220640568</v>
      </c>
      <c r="AG33" s="49">
        <f t="shared" si="17"/>
        <v>68.12633451957295</v>
      </c>
      <c r="AH33" s="49">
        <f t="shared" si="18"/>
        <v>55</v>
      </c>
      <c r="AI33" s="47">
        <f t="shared" si="19"/>
        <v>81.66282722977563</v>
      </c>
      <c r="AJ33" s="134">
        <f t="shared" si="20"/>
        <v>979.9539267573075</v>
      </c>
    </row>
    <row r="34" spans="2:46" s="45" customFormat="1" x14ac:dyDescent="0.2">
      <c r="B34" s="1" t="str">
        <f t="shared" si="21"/>
        <v>Washresidential ExtrasWBSOFA</v>
      </c>
      <c r="C34" s="58" t="s">
        <v>77</v>
      </c>
      <c r="D34" s="58" t="s">
        <v>109</v>
      </c>
      <c r="E34" s="11">
        <v>30.39</v>
      </c>
      <c r="F34" s="11">
        <v>30.39</v>
      </c>
      <c r="G34" s="11">
        <v>32.450000000000003</v>
      </c>
      <c r="H34" s="55"/>
      <c r="I34" s="14">
        <v>30.39</v>
      </c>
      <c r="J34" s="14">
        <v>30.39</v>
      </c>
      <c r="K34" s="14">
        <v>121.56</v>
      </c>
      <c r="L34" s="14">
        <v>30.39</v>
      </c>
      <c r="M34" s="14">
        <v>60.78</v>
      </c>
      <c r="N34" s="14">
        <v>60.78</v>
      </c>
      <c r="O34" s="14">
        <v>0</v>
      </c>
      <c r="P34" s="14">
        <v>60.78</v>
      </c>
      <c r="Q34" s="14">
        <v>91.17</v>
      </c>
      <c r="R34" s="14">
        <v>30.39</v>
      </c>
      <c r="S34" s="14">
        <v>64.900000000000006</v>
      </c>
      <c r="T34" s="14">
        <v>32.450000000000003</v>
      </c>
      <c r="U34" s="73">
        <f t="shared" si="6"/>
        <v>613.98</v>
      </c>
      <c r="W34" s="49">
        <f t="shared" si="7"/>
        <v>1</v>
      </c>
      <c r="X34" s="49">
        <f t="shared" si="8"/>
        <v>1</v>
      </c>
      <c r="Y34" s="49">
        <f t="shared" si="9"/>
        <v>4</v>
      </c>
      <c r="Z34" s="49">
        <f t="shared" si="10"/>
        <v>1</v>
      </c>
      <c r="AA34" s="49">
        <f t="shared" si="11"/>
        <v>2</v>
      </c>
      <c r="AB34" s="49">
        <f t="shared" si="12"/>
        <v>2</v>
      </c>
      <c r="AC34" s="49">
        <f t="shared" si="13"/>
        <v>0</v>
      </c>
      <c r="AD34" s="49">
        <f t="shared" si="14"/>
        <v>2</v>
      </c>
      <c r="AE34" s="49">
        <f t="shared" si="15"/>
        <v>3</v>
      </c>
      <c r="AF34" s="49">
        <f t="shared" si="16"/>
        <v>0.936517719568567</v>
      </c>
      <c r="AG34" s="49">
        <f t="shared" si="17"/>
        <v>2</v>
      </c>
      <c r="AH34" s="49">
        <f t="shared" si="18"/>
        <v>1</v>
      </c>
      <c r="AI34" s="47">
        <f t="shared" si="19"/>
        <v>1.661376476630714</v>
      </c>
      <c r="AJ34" s="134">
        <f t="shared" si="20"/>
        <v>19.936517719568567</v>
      </c>
    </row>
    <row r="35" spans="2:46" s="45" customFormat="1" x14ac:dyDescent="0.2">
      <c r="B35" s="1" t="str">
        <f>"Wash"&amp;"residential Extras"&amp;C35</f>
        <v>Washresidential ExtrasWBWASHER</v>
      </c>
      <c r="C35" s="58" t="s">
        <v>402</v>
      </c>
      <c r="D35" s="58" t="s">
        <v>412</v>
      </c>
      <c r="E35" s="11">
        <v>30.39</v>
      </c>
      <c r="F35" s="11">
        <v>30.39</v>
      </c>
      <c r="G35" s="11">
        <v>32.450000000000003</v>
      </c>
      <c r="H35" s="55"/>
      <c r="I35" s="14">
        <v>0</v>
      </c>
      <c r="J35" s="14">
        <v>0</v>
      </c>
      <c r="K35" s="14">
        <v>0</v>
      </c>
      <c r="L35" s="14">
        <v>60.78</v>
      </c>
      <c r="M35" s="14">
        <v>0</v>
      </c>
      <c r="N35" s="14">
        <v>30.39</v>
      </c>
      <c r="O35" s="14">
        <v>60.78</v>
      </c>
      <c r="P35" s="14">
        <v>30.39</v>
      </c>
      <c r="Q35" s="14">
        <v>121.56</v>
      </c>
      <c r="R35" s="14">
        <v>0</v>
      </c>
      <c r="S35" s="14">
        <v>32.450000000000003</v>
      </c>
      <c r="T35" s="14">
        <v>32.450000000000003</v>
      </c>
      <c r="U35" s="73">
        <f t="shared" si="6"/>
        <v>368.79999999999995</v>
      </c>
      <c r="W35" s="49">
        <f t="shared" si="7"/>
        <v>0</v>
      </c>
      <c r="X35" s="49">
        <f t="shared" si="8"/>
        <v>0</v>
      </c>
      <c r="Y35" s="49">
        <f t="shared" si="9"/>
        <v>0</v>
      </c>
      <c r="Z35" s="49">
        <f t="shared" si="10"/>
        <v>2</v>
      </c>
      <c r="AA35" s="49">
        <f t="shared" si="11"/>
        <v>0</v>
      </c>
      <c r="AB35" s="49">
        <f t="shared" si="12"/>
        <v>1</v>
      </c>
      <c r="AC35" s="49">
        <f t="shared" si="13"/>
        <v>2</v>
      </c>
      <c r="AD35" s="49">
        <f t="shared" si="14"/>
        <v>1</v>
      </c>
      <c r="AE35" s="49">
        <f t="shared" si="15"/>
        <v>4</v>
      </c>
      <c r="AF35" s="49">
        <f t="shared" si="16"/>
        <v>0</v>
      </c>
      <c r="AG35" s="49">
        <f t="shared" si="17"/>
        <v>1</v>
      </c>
      <c r="AH35" s="49">
        <f t="shared" si="18"/>
        <v>1</v>
      </c>
      <c r="AI35" s="47">
        <f t="shared" si="19"/>
        <v>1</v>
      </c>
      <c r="AJ35" s="134">
        <f t="shared" si="20"/>
        <v>12</v>
      </c>
    </row>
    <row r="36" spans="2:46" s="45" customFormat="1" x14ac:dyDescent="0.2">
      <c r="B36" s="1" t="str">
        <f>"Wash"&amp;"residential Extras"&amp;C36</f>
        <v>Washresidential ExtrasWCTIRE/RIM</v>
      </c>
      <c r="C36" s="58" t="s">
        <v>400</v>
      </c>
      <c r="D36" s="58" t="s">
        <v>410</v>
      </c>
      <c r="E36" s="11">
        <v>12.28</v>
      </c>
      <c r="F36" s="11">
        <v>12.28</v>
      </c>
      <c r="G36" s="11">
        <v>13.11</v>
      </c>
      <c r="H36" s="55"/>
      <c r="I36" s="14">
        <v>0</v>
      </c>
      <c r="J36" s="14">
        <v>0</v>
      </c>
      <c r="K36" s="14">
        <v>0</v>
      </c>
      <c r="L36" s="14">
        <v>0</v>
      </c>
      <c r="M36" s="14">
        <v>0</v>
      </c>
      <c r="N36" s="14">
        <v>0</v>
      </c>
      <c r="O36" s="14">
        <v>0</v>
      </c>
      <c r="P36" s="14">
        <v>0</v>
      </c>
      <c r="Q36" s="14">
        <v>0</v>
      </c>
      <c r="R36" s="14">
        <v>0</v>
      </c>
      <c r="S36" s="14">
        <v>0</v>
      </c>
      <c r="T36" s="14">
        <v>0</v>
      </c>
      <c r="U36" s="73">
        <f t="shared" si="6"/>
        <v>0</v>
      </c>
      <c r="W36" s="49">
        <f t="shared" si="7"/>
        <v>0</v>
      </c>
      <c r="X36" s="49">
        <f t="shared" si="8"/>
        <v>0</v>
      </c>
      <c r="Y36" s="49">
        <f t="shared" si="9"/>
        <v>0</v>
      </c>
      <c r="Z36" s="49">
        <f t="shared" si="10"/>
        <v>0</v>
      </c>
      <c r="AA36" s="49">
        <f t="shared" si="11"/>
        <v>0</v>
      </c>
      <c r="AB36" s="49">
        <f t="shared" si="12"/>
        <v>0</v>
      </c>
      <c r="AC36" s="49">
        <f t="shared" si="13"/>
        <v>0</v>
      </c>
      <c r="AD36" s="49">
        <f t="shared" si="14"/>
        <v>0</v>
      </c>
      <c r="AE36" s="49">
        <f t="shared" si="15"/>
        <v>0</v>
      </c>
      <c r="AF36" s="49">
        <f t="shared" si="16"/>
        <v>0</v>
      </c>
      <c r="AG36" s="49">
        <f t="shared" si="17"/>
        <v>0</v>
      </c>
      <c r="AH36" s="49">
        <f t="shared" si="18"/>
        <v>0</v>
      </c>
      <c r="AI36" s="47">
        <f t="shared" si="19"/>
        <v>0</v>
      </c>
      <c r="AJ36" s="134">
        <f t="shared" si="20"/>
        <v>0</v>
      </c>
    </row>
    <row r="37" spans="2:46" s="45" customFormat="1" x14ac:dyDescent="0.2">
      <c r="B37" s="1" t="str">
        <f>"Wash"&amp;"residential Extras"&amp;C37</f>
        <v>Washresidential ExtrasWCTIRE</v>
      </c>
      <c r="C37" s="58" t="s">
        <v>401</v>
      </c>
      <c r="D37" s="58" t="s">
        <v>411</v>
      </c>
      <c r="E37" s="11">
        <v>8.16</v>
      </c>
      <c r="F37" s="11">
        <v>8.16</v>
      </c>
      <c r="G37" s="11">
        <v>8.7100000000000009</v>
      </c>
      <c r="H37" s="55"/>
      <c r="I37" s="14">
        <v>0</v>
      </c>
      <c r="J37" s="14">
        <v>0</v>
      </c>
      <c r="K37" s="14">
        <v>32.64</v>
      </c>
      <c r="L37" s="14">
        <v>0</v>
      </c>
      <c r="M37" s="14">
        <v>0</v>
      </c>
      <c r="N37" s="14">
        <v>0</v>
      </c>
      <c r="O37" s="14">
        <v>0</v>
      </c>
      <c r="P37" s="14">
        <v>0</v>
      </c>
      <c r="Q37" s="14">
        <v>24.48</v>
      </c>
      <c r="R37" s="14">
        <v>8.7100000000000009</v>
      </c>
      <c r="S37" s="14">
        <v>0</v>
      </c>
      <c r="T37" s="14">
        <v>0</v>
      </c>
      <c r="U37" s="73">
        <f t="shared" si="6"/>
        <v>65.830000000000013</v>
      </c>
      <c r="W37" s="49">
        <f t="shared" si="7"/>
        <v>0</v>
      </c>
      <c r="X37" s="49">
        <f t="shared" si="8"/>
        <v>0</v>
      </c>
      <c r="Y37" s="49">
        <f t="shared" si="9"/>
        <v>4</v>
      </c>
      <c r="Z37" s="49">
        <f t="shared" si="10"/>
        <v>0</v>
      </c>
      <c r="AA37" s="49">
        <f t="shared" si="11"/>
        <v>0</v>
      </c>
      <c r="AB37" s="49">
        <f t="shared" si="12"/>
        <v>0</v>
      </c>
      <c r="AC37" s="49">
        <f t="shared" si="13"/>
        <v>0</v>
      </c>
      <c r="AD37" s="49">
        <f t="shared" si="14"/>
        <v>0</v>
      </c>
      <c r="AE37" s="49">
        <f t="shared" si="15"/>
        <v>3</v>
      </c>
      <c r="AF37" s="49">
        <f t="shared" si="16"/>
        <v>1</v>
      </c>
      <c r="AG37" s="49">
        <f t="shared" si="17"/>
        <v>0</v>
      </c>
      <c r="AH37" s="49">
        <f t="shared" si="18"/>
        <v>0</v>
      </c>
      <c r="AI37" s="47">
        <f t="shared" si="19"/>
        <v>0.66666666666666663</v>
      </c>
      <c r="AJ37" s="134">
        <f t="shared" si="20"/>
        <v>8</v>
      </c>
    </row>
    <row r="38" spans="2:46" s="45" customFormat="1" x14ac:dyDescent="0.2">
      <c r="B38" s="1" t="str">
        <f t="shared" si="21"/>
        <v>Washresidential ExtrasRRTRIP</v>
      </c>
      <c r="C38" s="58" t="s">
        <v>74</v>
      </c>
      <c r="D38" s="58" t="s">
        <v>106</v>
      </c>
      <c r="E38" s="11">
        <v>46.13</v>
      </c>
      <c r="F38" s="11">
        <v>46.13</v>
      </c>
      <c r="G38" s="11">
        <v>49.25</v>
      </c>
      <c r="H38" s="55"/>
      <c r="I38" s="14">
        <v>0</v>
      </c>
      <c r="J38" s="14">
        <v>46.13</v>
      </c>
      <c r="K38" s="14">
        <v>46.13</v>
      </c>
      <c r="L38" s="14">
        <v>138.38999999999999</v>
      </c>
      <c r="M38" s="14">
        <v>92.26</v>
      </c>
      <c r="N38" s="14">
        <v>0</v>
      </c>
      <c r="O38" s="14">
        <v>0</v>
      </c>
      <c r="P38" s="14">
        <v>92.26</v>
      </c>
      <c r="Q38" s="14">
        <v>92.26</v>
      </c>
      <c r="R38" s="14">
        <v>49.25</v>
      </c>
      <c r="S38" s="14">
        <v>98.5</v>
      </c>
      <c r="T38" s="14">
        <v>49.25</v>
      </c>
      <c r="U38" s="73">
        <f t="shared" si="6"/>
        <v>704.43</v>
      </c>
      <c r="W38" s="49">
        <f t="shared" si="7"/>
        <v>0</v>
      </c>
      <c r="X38" s="49">
        <f t="shared" si="8"/>
        <v>1</v>
      </c>
      <c r="Y38" s="49">
        <f t="shared" si="9"/>
        <v>1</v>
      </c>
      <c r="Z38" s="49">
        <f t="shared" si="10"/>
        <v>2.9999999999999996</v>
      </c>
      <c r="AA38" s="49">
        <f t="shared" si="11"/>
        <v>2</v>
      </c>
      <c r="AB38" s="49">
        <f t="shared" si="12"/>
        <v>0</v>
      </c>
      <c r="AC38" s="49">
        <f t="shared" si="13"/>
        <v>0</v>
      </c>
      <c r="AD38" s="49">
        <f t="shared" si="14"/>
        <v>2</v>
      </c>
      <c r="AE38" s="49">
        <f t="shared" si="15"/>
        <v>2</v>
      </c>
      <c r="AF38" s="49">
        <f t="shared" si="16"/>
        <v>1</v>
      </c>
      <c r="AG38" s="49">
        <f t="shared" si="17"/>
        <v>2</v>
      </c>
      <c r="AH38" s="49">
        <f t="shared" si="18"/>
        <v>1</v>
      </c>
      <c r="AI38" s="47">
        <f t="shared" si="19"/>
        <v>1.25</v>
      </c>
      <c r="AJ38" s="134">
        <f t="shared" si="20"/>
        <v>15</v>
      </c>
    </row>
    <row r="39" spans="2:46" s="45" customFormat="1" x14ac:dyDescent="0.2">
      <c r="B39" s="1" t="str">
        <f>"Wash"&amp;"residential Extras"&amp;C39</f>
        <v>Washresidential ExtrasWBDRYER</v>
      </c>
      <c r="C39" s="58" t="s">
        <v>396</v>
      </c>
      <c r="D39" s="58" t="s">
        <v>406</v>
      </c>
      <c r="E39" s="11">
        <v>30.39</v>
      </c>
      <c r="F39" s="11">
        <v>30.39</v>
      </c>
      <c r="G39" s="11">
        <v>32.450000000000003</v>
      </c>
      <c r="H39" s="55"/>
      <c r="I39" s="14">
        <v>0</v>
      </c>
      <c r="J39" s="14">
        <v>0</v>
      </c>
      <c r="K39" s="14">
        <v>0</v>
      </c>
      <c r="L39" s="14">
        <v>60.78</v>
      </c>
      <c r="M39" s="14">
        <v>0</v>
      </c>
      <c r="N39" s="14">
        <v>0</v>
      </c>
      <c r="O39" s="14">
        <v>30.39</v>
      </c>
      <c r="P39" s="14">
        <v>0</v>
      </c>
      <c r="Q39" s="14">
        <v>0</v>
      </c>
      <c r="R39" s="14">
        <v>32.450000000000003</v>
      </c>
      <c r="S39" s="14">
        <v>0</v>
      </c>
      <c r="T39" s="14">
        <v>64.900000000000006</v>
      </c>
      <c r="U39" s="73">
        <f t="shared" si="6"/>
        <v>188.52</v>
      </c>
      <c r="W39" s="49">
        <f t="shared" si="7"/>
        <v>0</v>
      </c>
      <c r="X39" s="49">
        <f t="shared" si="8"/>
        <v>0</v>
      </c>
      <c r="Y39" s="49">
        <f t="shared" si="9"/>
        <v>0</v>
      </c>
      <c r="Z39" s="49">
        <f t="shared" si="10"/>
        <v>2</v>
      </c>
      <c r="AA39" s="49">
        <f t="shared" si="11"/>
        <v>0</v>
      </c>
      <c r="AB39" s="49">
        <f t="shared" si="12"/>
        <v>0</v>
      </c>
      <c r="AC39" s="49">
        <f t="shared" si="13"/>
        <v>1</v>
      </c>
      <c r="AD39" s="49">
        <f t="shared" si="14"/>
        <v>0</v>
      </c>
      <c r="AE39" s="49">
        <f t="shared" si="15"/>
        <v>0</v>
      </c>
      <c r="AF39" s="49">
        <f t="shared" si="16"/>
        <v>1</v>
      </c>
      <c r="AG39" s="49">
        <f t="shared" si="17"/>
        <v>0</v>
      </c>
      <c r="AH39" s="49">
        <f t="shared" si="18"/>
        <v>2</v>
      </c>
      <c r="AI39" s="47">
        <f t="shared" si="19"/>
        <v>0.5</v>
      </c>
      <c r="AJ39" s="134">
        <f t="shared" si="20"/>
        <v>6</v>
      </c>
    </row>
    <row r="40" spans="2:46" s="45" customFormat="1" x14ac:dyDescent="0.2">
      <c r="B40" s="1" t="str">
        <f t="shared" si="21"/>
        <v>Washresidential ExtrasWBWTRHTR</v>
      </c>
      <c r="C40" s="58" t="s">
        <v>403</v>
      </c>
      <c r="D40" s="58" t="s">
        <v>413</v>
      </c>
      <c r="E40" s="11">
        <v>30.39</v>
      </c>
      <c r="F40" s="11">
        <v>30.39</v>
      </c>
      <c r="G40" s="11">
        <v>32.450000000000003</v>
      </c>
      <c r="H40" s="55"/>
      <c r="I40" s="14">
        <v>0</v>
      </c>
      <c r="J40" s="14">
        <v>0</v>
      </c>
      <c r="K40" s="14">
        <v>0</v>
      </c>
      <c r="L40" s="14">
        <v>0</v>
      </c>
      <c r="M40" s="14">
        <v>30.39</v>
      </c>
      <c r="N40" s="14">
        <v>0</v>
      </c>
      <c r="O40" s="14">
        <v>0</v>
      </c>
      <c r="P40" s="14">
        <v>0</v>
      </c>
      <c r="Q40" s="14">
        <v>30.39</v>
      </c>
      <c r="R40" s="14">
        <v>0</v>
      </c>
      <c r="S40" s="14">
        <v>0</v>
      </c>
      <c r="T40" s="14">
        <v>32.450000000000003</v>
      </c>
      <c r="U40" s="73">
        <f t="shared" si="6"/>
        <v>93.23</v>
      </c>
      <c r="W40" s="49">
        <f t="shared" si="7"/>
        <v>0</v>
      </c>
      <c r="X40" s="49">
        <f t="shared" si="8"/>
        <v>0</v>
      </c>
      <c r="Y40" s="49">
        <f t="shared" si="9"/>
        <v>0</v>
      </c>
      <c r="Z40" s="49">
        <f t="shared" si="10"/>
        <v>0</v>
      </c>
      <c r="AA40" s="49">
        <f t="shared" si="11"/>
        <v>1</v>
      </c>
      <c r="AB40" s="49">
        <f t="shared" si="12"/>
        <v>0</v>
      </c>
      <c r="AC40" s="49">
        <f t="shared" si="13"/>
        <v>0</v>
      </c>
      <c r="AD40" s="49">
        <f t="shared" si="14"/>
        <v>0</v>
      </c>
      <c r="AE40" s="49">
        <f t="shared" si="15"/>
        <v>1</v>
      </c>
      <c r="AF40" s="49">
        <f t="shared" si="16"/>
        <v>0</v>
      </c>
      <c r="AG40" s="49">
        <f t="shared" si="17"/>
        <v>0</v>
      </c>
      <c r="AH40" s="49">
        <f t="shared" si="18"/>
        <v>1</v>
      </c>
      <c r="AI40" s="47">
        <f t="shared" si="19"/>
        <v>0.25</v>
      </c>
      <c r="AJ40" s="134">
        <f t="shared" si="20"/>
        <v>3</v>
      </c>
    </row>
    <row r="41" spans="2:46" s="45" customFormat="1" x14ac:dyDescent="0.2">
      <c r="B41" s="1" t="str">
        <f t="shared" si="21"/>
        <v>Washresidential ExtrasWBREFRIGE</v>
      </c>
      <c r="C41" s="58" t="s">
        <v>397</v>
      </c>
      <c r="D41" s="58" t="s">
        <v>407</v>
      </c>
      <c r="E41" s="11">
        <v>60.77</v>
      </c>
      <c r="F41" s="11">
        <v>60.77</v>
      </c>
      <c r="G41" s="11">
        <v>64.88</v>
      </c>
      <c r="H41" s="55"/>
      <c r="I41" s="14">
        <v>0</v>
      </c>
      <c r="J41" s="14">
        <v>0</v>
      </c>
      <c r="K41" s="14">
        <v>121.54</v>
      </c>
      <c r="L41" s="14">
        <v>121.54</v>
      </c>
      <c r="M41" s="14">
        <v>0</v>
      </c>
      <c r="N41" s="14">
        <v>60.77</v>
      </c>
      <c r="O41" s="14">
        <v>121.54</v>
      </c>
      <c r="P41" s="14">
        <v>121.54</v>
      </c>
      <c r="Q41" s="14">
        <v>60.77</v>
      </c>
      <c r="R41" s="14">
        <v>0</v>
      </c>
      <c r="S41" s="14">
        <v>64.88</v>
      </c>
      <c r="T41" s="14">
        <v>194.64</v>
      </c>
      <c r="U41" s="73">
        <f t="shared" si="6"/>
        <v>867.22</v>
      </c>
      <c r="W41" s="49">
        <f t="shared" si="7"/>
        <v>0</v>
      </c>
      <c r="X41" s="49">
        <f t="shared" si="8"/>
        <v>0</v>
      </c>
      <c r="Y41" s="49">
        <f t="shared" si="9"/>
        <v>2</v>
      </c>
      <c r="Z41" s="49">
        <f t="shared" si="10"/>
        <v>2</v>
      </c>
      <c r="AA41" s="49">
        <f t="shared" si="11"/>
        <v>0</v>
      </c>
      <c r="AB41" s="49">
        <f t="shared" si="12"/>
        <v>1</v>
      </c>
      <c r="AC41" s="49">
        <f t="shared" si="13"/>
        <v>2</v>
      </c>
      <c r="AD41" s="49">
        <f t="shared" si="14"/>
        <v>2</v>
      </c>
      <c r="AE41" s="49">
        <f t="shared" si="15"/>
        <v>1</v>
      </c>
      <c r="AF41" s="49">
        <f t="shared" si="16"/>
        <v>0</v>
      </c>
      <c r="AG41" s="49">
        <f t="shared" si="17"/>
        <v>1</v>
      </c>
      <c r="AH41" s="49">
        <f t="shared" si="18"/>
        <v>3</v>
      </c>
      <c r="AI41" s="47">
        <f t="shared" si="19"/>
        <v>1.1666666666666667</v>
      </c>
      <c r="AJ41" s="134">
        <f t="shared" si="20"/>
        <v>14</v>
      </c>
    </row>
    <row r="42" spans="2:46" s="45" customFormat="1" x14ac:dyDescent="0.2">
      <c r="B42" s="1" t="str">
        <f t="shared" si="21"/>
        <v>Washresidential ExtrasTOTEPUR</v>
      </c>
      <c r="C42" s="58" t="s">
        <v>73</v>
      </c>
      <c r="D42" s="58" t="s">
        <v>105</v>
      </c>
      <c r="E42" s="11">
        <v>0</v>
      </c>
      <c r="F42" s="11">
        <v>0</v>
      </c>
      <c r="G42" s="11">
        <v>0</v>
      </c>
      <c r="H42" s="55"/>
      <c r="I42" s="14">
        <v>111.59</v>
      </c>
      <c r="J42" s="14">
        <v>0</v>
      </c>
      <c r="K42" s="14">
        <v>0</v>
      </c>
      <c r="L42" s="14">
        <v>0</v>
      </c>
      <c r="M42" s="14">
        <v>0</v>
      </c>
      <c r="N42" s="14">
        <v>0</v>
      </c>
      <c r="O42" s="14">
        <v>0</v>
      </c>
      <c r="P42" s="14">
        <v>0</v>
      </c>
      <c r="Q42" s="14">
        <v>0</v>
      </c>
      <c r="R42" s="14">
        <v>0</v>
      </c>
      <c r="S42" s="14">
        <v>0</v>
      </c>
      <c r="T42" s="14">
        <v>0</v>
      </c>
      <c r="U42" s="73">
        <f t="shared" si="6"/>
        <v>111.59</v>
      </c>
      <c r="W42" s="49">
        <f t="shared" si="7"/>
        <v>0</v>
      </c>
      <c r="X42" s="49">
        <f t="shared" si="8"/>
        <v>0</v>
      </c>
      <c r="Y42" s="49">
        <f t="shared" si="9"/>
        <v>0</v>
      </c>
      <c r="Z42" s="49">
        <f t="shared" si="10"/>
        <v>0</v>
      </c>
      <c r="AA42" s="49">
        <f t="shared" si="11"/>
        <v>0</v>
      </c>
      <c r="AB42" s="49">
        <f t="shared" si="12"/>
        <v>0</v>
      </c>
      <c r="AC42" s="49">
        <f t="shared" si="13"/>
        <v>0</v>
      </c>
      <c r="AD42" s="49">
        <f t="shared" si="14"/>
        <v>0</v>
      </c>
      <c r="AE42" s="49">
        <f t="shared" si="15"/>
        <v>0</v>
      </c>
      <c r="AF42" s="49">
        <f t="shared" si="16"/>
        <v>0</v>
      </c>
      <c r="AG42" s="49">
        <f t="shared" si="17"/>
        <v>0</v>
      </c>
      <c r="AH42" s="49">
        <f t="shared" si="18"/>
        <v>0</v>
      </c>
      <c r="AI42" s="47">
        <f t="shared" si="19"/>
        <v>0</v>
      </c>
      <c r="AJ42" s="134">
        <f t="shared" si="20"/>
        <v>0</v>
      </c>
    </row>
    <row r="43" spans="2:46" s="45" customFormat="1" x14ac:dyDescent="0.2">
      <c r="B43" s="1" t="str">
        <f t="shared" si="21"/>
        <v>Washresidential ExtrasWBSTOVE</v>
      </c>
      <c r="C43" s="58" t="s">
        <v>749</v>
      </c>
      <c r="D43" s="58" t="s">
        <v>774</v>
      </c>
      <c r="E43" s="11">
        <v>30.39</v>
      </c>
      <c r="F43" s="11">
        <v>30.39</v>
      </c>
      <c r="G43" s="11">
        <v>32.450000000000003</v>
      </c>
      <c r="H43" s="55"/>
      <c r="I43" s="14">
        <v>0</v>
      </c>
      <c r="J43" s="14">
        <v>30.39</v>
      </c>
      <c r="K43" s="14">
        <v>30.39</v>
      </c>
      <c r="L43" s="14">
        <v>0</v>
      </c>
      <c r="M43" s="14">
        <v>0</v>
      </c>
      <c r="N43" s="14">
        <v>0</v>
      </c>
      <c r="O43" s="14">
        <v>30.39</v>
      </c>
      <c r="P43" s="14">
        <v>0</v>
      </c>
      <c r="Q43" s="14">
        <v>0</v>
      </c>
      <c r="R43" s="14">
        <v>0</v>
      </c>
      <c r="S43" s="14">
        <v>32.450000000000003</v>
      </c>
      <c r="T43" s="14">
        <v>0</v>
      </c>
      <c r="U43" s="73">
        <f t="shared" si="6"/>
        <v>123.62</v>
      </c>
      <c r="W43" s="49">
        <f t="shared" si="7"/>
        <v>0</v>
      </c>
      <c r="X43" s="49">
        <f t="shared" si="8"/>
        <v>1</v>
      </c>
      <c r="Y43" s="49">
        <f t="shared" si="9"/>
        <v>1</v>
      </c>
      <c r="Z43" s="49">
        <f t="shared" si="10"/>
        <v>0</v>
      </c>
      <c r="AA43" s="49">
        <f t="shared" si="11"/>
        <v>0</v>
      </c>
      <c r="AB43" s="49">
        <f t="shared" si="12"/>
        <v>0</v>
      </c>
      <c r="AC43" s="49">
        <f t="shared" si="13"/>
        <v>1</v>
      </c>
      <c r="AD43" s="49">
        <f t="shared" si="14"/>
        <v>0</v>
      </c>
      <c r="AE43" s="49">
        <f t="shared" si="15"/>
        <v>0</v>
      </c>
      <c r="AF43" s="49">
        <f t="shared" si="16"/>
        <v>0</v>
      </c>
      <c r="AG43" s="49">
        <f t="shared" si="17"/>
        <v>1</v>
      </c>
      <c r="AH43" s="49">
        <f t="shared" si="18"/>
        <v>0</v>
      </c>
      <c r="AI43" s="47">
        <f t="shared" si="19"/>
        <v>0.33333333333333331</v>
      </c>
      <c r="AJ43" s="134">
        <f t="shared" si="20"/>
        <v>4</v>
      </c>
    </row>
    <row r="44" spans="2:46" s="45" customFormat="1" x14ac:dyDescent="0.2">
      <c r="C44" s="58"/>
      <c r="D44" s="58"/>
      <c r="E44" s="55"/>
      <c r="F44" s="55"/>
      <c r="G44" s="55"/>
      <c r="H44" s="55"/>
      <c r="I44" s="46"/>
      <c r="J44" s="49"/>
      <c r="K44" s="49"/>
      <c r="L44" s="48"/>
      <c r="M44" s="48"/>
      <c r="N44" s="48"/>
      <c r="O44" s="48"/>
      <c r="P44" s="48"/>
      <c r="Q44" s="48"/>
      <c r="R44" s="48"/>
      <c r="S44" s="49"/>
      <c r="T44" s="49"/>
      <c r="U44" s="73"/>
      <c r="AI44" s="40"/>
      <c r="AJ44" s="134">
        <f>SUM(W44:AH44)</f>
        <v>0</v>
      </c>
    </row>
    <row r="45" spans="2:46" s="45" customFormat="1" x14ac:dyDescent="0.2">
      <c r="D45" s="52" t="s">
        <v>4</v>
      </c>
      <c r="E45" s="55"/>
      <c r="F45" s="55"/>
      <c r="G45" s="55"/>
      <c r="H45" s="55"/>
      <c r="I45" s="97">
        <f t="shared" ref="I45:U45" si="22">SUM(I12:I44)</f>
        <v>140466.84000000003</v>
      </c>
      <c r="J45" s="97">
        <f t="shared" si="22"/>
        <v>143674.03000000003</v>
      </c>
      <c r="K45" s="97">
        <f t="shared" si="22"/>
        <v>142786.07500000001</v>
      </c>
      <c r="L45" s="97">
        <f t="shared" si="22"/>
        <v>144009.93000000005</v>
      </c>
      <c r="M45" s="97">
        <f t="shared" si="22"/>
        <v>144062.76999999999</v>
      </c>
      <c r="N45" s="97">
        <f t="shared" si="22"/>
        <v>143899.26999999999</v>
      </c>
      <c r="O45" s="97">
        <f t="shared" si="22"/>
        <v>141498.65000000005</v>
      </c>
      <c r="P45" s="97">
        <f t="shared" si="22"/>
        <v>144811.86500000008</v>
      </c>
      <c r="Q45" s="97">
        <f t="shared" si="22"/>
        <v>142207.29500000007</v>
      </c>
      <c r="R45" s="97">
        <f t="shared" si="22"/>
        <v>153422.46000000002</v>
      </c>
      <c r="S45" s="97">
        <f t="shared" si="22"/>
        <v>152146.85</v>
      </c>
      <c r="T45" s="97">
        <f t="shared" si="22"/>
        <v>153627.00500000006</v>
      </c>
      <c r="U45" s="97">
        <f t="shared" si="22"/>
        <v>1746613.0400000003</v>
      </c>
      <c r="W45" s="188">
        <f t="shared" ref="W45:AI45" si="23">SUM(W12:W26)</f>
        <v>5519.9281044162153</v>
      </c>
      <c r="X45" s="188">
        <f t="shared" si="23"/>
        <v>5577.8650448135768</v>
      </c>
      <c r="Y45" s="188">
        <f t="shared" si="23"/>
        <v>5547.7284355987595</v>
      </c>
      <c r="Z45" s="188">
        <f t="shared" si="23"/>
        <v>5588.3594188058278</v>
      </c>
      <c r="AA45" s="188">
        <f t="shared" si="23"/>
        <v>5566.2657945108549</v>
      </c>
      <c r="AB45" s="188">
        <f t="shared" si="23"/>
        <v>5597.848994343598</v>
      </c>
      <c r="AC45" s="188">
        <f t="shared" si="23"/>
        <v>5556.5914334426943</v>
      </c>
      <c r="AD45" s="188">
        <f t="shared" si="23"/>
        <v>5589.8842988786146</v>
      </c>
      <c r="AE45" s="188">
        <f t="shared" si="23"/>
        <v>5568.7478303703892</v>
      </c>
      <c r="AF45" s="188">
        <f t="shared" si="23"/>
        <v>5598.1040033195623</v>
      </c>
      <c r="AG45" s="188">
        <f t="shared" si="23"/>
        <v>5574.6001813987641</v>
      </c>
      <c r="AH45" s="188">
        <f t="shared" si="23"/>
        <v>5598.0355999696476</v>
      </c>
      <c r="AI45" s="188">
        <f t="shared" si="23"/>
        <v>5573.6632616557081</v>
      </c>
      <c r="AJ45" s="275">
        <f>SUM(AJ12:AJ27,AJ30,AJ32:AJ33)</f>
        <v>72281.8904031813</v>
      </c>
      <c r="AN45" s="189">
        <f>SUM(AN12:AN26)</f>
        <v>5573.6632616557081</v>
      </c>
      <c r="AP45" s="189">
        <f>SUM(AP12:AP26)</f>
        <v>0</v>
      </c>
      <c r="AR45" s="189">
        <f>SUM(AR12:AR26)</f>
        <v>0</v>
      </c>
      <c r="AT45" s="189">
        <f>SUM(AT12:AT26)</f>
        <v>0</v>
      </c>
    </row>
    <row r="46" spans="2:46" s="45" customFormat="1" x14ac:dyDescent="0.2">
      <c r="C46" s="70"/>
      <c r="D46" s="71"/>
      <c r="E46" s="55"/>
      <c r="F46" s="55"/>
      <c r="G46" s="55"/>
      <c r="H46" s="55"/>
      <c r="I46" s="46"/>
      <c r="J46" s="49" t="str">
        <f>IF(H46="","",(#REF!/H46)+(#REF!/#REF!))</f>
        <v/>
      </c>
      <c r="K46" s="49" t="str">
        <f>IF(H46="","",J46/12)</f>
        <v/>
      </c>
      <c r="L46" s="72"/>
      <c r="M46" s="73"/>
      <c r="U46" s="73"/>
      <c r="W46" s="48"/>
      <c r="X46" s="48"/>
      <c r="Y46" s="48"/>
      <c r="Z46" s="48"/>
      <c r="AA46" s="48"/>
      <c r="AB46" s="48"/>
      <c r="AC46" s="48"/>
      <c r="AD46" s="48"/>
      <c r="AE46" s="48"/>
      <c r="AF46" s="48"/>
      <c r="AG46" s="48"/>
      <c r="AH46" s="48"/>
      <c r="AI46" s="40"/>
      <c r="AJ46" s="134">
        <f>SUM(W46:AH46)</f>
        <v>0</v>
      </c>
    </row>
    <row r="47" spans="2:46" s="45" customFormat="1" x14ac:dyDescent="0.2">
      <c r="C47" s="42" t="s">
        <v>5</v>
      </c>
      <c r="D47" s="42" t="s">
        <v>5</v>
      </c>
      <c r="E47" s="55"/>
      <c r="F47" s="55"/>
      <c r="G47" s="55"/>
      <c r="H47" s="55"/>
      <c r="I47" s="46"/>
      <c r="J47" s="49" t="str">
        <f>IF(H47="","",(#REF!/H47)+(#REF!/#REF!))</f>
        <v/>
      </c>
      <c r="K47" s="49" t="str">
        <f>IF(H47="","",J47/12)</f>
        <v/>
      </c>
      <c r="L47" s="72"/>
      <c r="M47" s="73"/>
      <c r="U47" s="73"/>
      <c r="W47" s="48"/>
      <c r="X47" s="48"/>
      <c r="Y47" s="48"/>
      <c r="Z47" s="48"/>
      <c r="AA47" s="48"/>
      <c r="AB47" s="48"/>
      <c r="AC47" s="48"/>
      <c r="AD47" s="48"/>
      <c r="AE47" s="48"/>
      <c r="AF47" s="48"/>
      <c r="AG47" s="48"/>
      <c r="AH47" s="48"/>
      <c r="AI47" s="47">
        <f t="shared" ref="AI47:AI71" si="24">+IFERROR(AVERAGE(W47:AH47),0)</f>
        <v>0</v>
      </c>
      <c r="AJ47" s="40"/>
    </row>
    <row r="48" spans="2:46" s="253" customFormat="1" x14ac:dyDescent="0.2">
      <c r="B48" s="241" t="str">
        <f t="shared" ref="B48:B53" si="25">"Wash"&amp;"residential"&amp;C48</f>
        <v>WashresidentialWRREC65</v>
      </c>
      <c r="C48" s="232" t="s">
        <v>947</v>
      </c>
      <c r="D48" s="232" t="s">
        <v>949</v>
      </c>
      <c r="E48" s="238">
        <v>5.47</v>
      </c>
      <c r="F48" s="238">
        <v>5.47</v>
      </c>
      <c r="G48" s="238">
        <v>5.84</v>
      </c>
      <c r="H48" s="261"/>
      <c r="I48" s="243">
        <v>663.23500000000001</v>
      </c>
      <c r="J48" s="243">
        <v>690.54499999999996</v>
      </c>
      <c r="K48" s="243">
        <v>687.81499999999994</v>
      </c>
      <c r="L48" s="243">
        <v>660.5</v>
      </c>
      <c r="M48" s="243">
        <v>655.02</v>
      </c>
      <c r="N48" s="243">
        <v>681.01</v>
      </c>
      <c r="O48" s="243">
        <v>664.6</v>
      </c>
      <c r="P48" s="243">
        <v>685.12</v>
      </c>
      <c r="Q48" s="243">
        <v>685.12</v>
      </c>
      <c r="R48" s="243">
        <v>730</v>
      </c>
      <c r="S48" s="243">
        <v>730</v>
      </c>
      <c r="T48" s="243">
        <v>741.68</v>
      </c>
      <c r="U48" s="263">
        <f t="shared" ref="U48:U53" si="26">SUM(I48:T48)</f>
        <v>8274.6450000000004</v>
      </c>
      <c r="W48" s="264">
        <f t="shared" ref="W48:W59" si="27">IFERROR(I48/$E48,0)</f>
        <v>121.24954296160878</v>
      </c>
      <c r="X48" s="264">
        <f t="shared" ref="X48:X59" si="28">IFERROR(J48/$E48,0)</f>
        <v>126.24223034734918</v>
      </c>
      <c r="Y48" s="264">
        <f t="shared" ref="Y48:Y59" si="29">IFERROR(K48/$E48,0)</f>
        <v>125.74314442413163</v>
      </c>
      <c r="Z48" s="264">
        <f t="shared" ref="Z48:Z59" si="30">IFERROR(L48/$F48,0)</f>
        <v>120.74954296160878</v>
      </c>
      <c r="AA48" s="264">
        <f t="shared" ref="AA48:AA59" si="31">IFERROR(M48/$F48,0)</f>
        <v>119.74771480804388</v>
      </c>
      <c r="AB48" s="264">
        <f t="shared" ref="AB48:AB59" si="32">IFERROR(N48/$F48,0)</f>
        <v>124.49908592321755</v>
      </c>
      <c r="AC48" s="264">
        <f t="shared" ref="AC48:AC59" si="33">IFERROR(O48/$F48,0)</f>
        <v>121.49908592321756</v>
      </c>
      <c r="AD48" s="264">
        <f t="shared" ref="AD48:AD59" si="34">IFERROR(P48/$F48,0)</f>
        <v>125.25045703839123</v>
      </c>
      <c r="AE48" s="264">
        <f t="shared" ref="AE48:AE59" si="35">IFERROR(Q48/$F48,0)</f>
        <v>125.25045703839123</v>
      </c>
      <c r="AF48" s="264">
        <f t="shared" ref="AF48:AF59" si="36">IFERROR(R48/$G48,0)</f>
        <v>125</v>
      </c>
      <c r="AG48" s="264">
        <f t="shared" ref="AG48:AG59" si="37">IFERROR(S48/$G48,0)</f>
        <v>125</v>
      </c>
      <c r="AH48" s="264">
        <f t="shared" ref="AH48:AH59" si="38">IFERROR(T48/$G48,0)</f>
        <v>127</v>
      </c>
      <c r="AI48" s="264">
        <f t="shared" si="24"/>
        <v>123.93593845216331</v>
      </c>
      <c r="AJ48" s="264">
        <f t="shared" ref="AJ48:AJ59" si="39">SUM(W48:AH48)</f>
        <v>1487.2312614259597</v>
      </c>
      <c r="AM48" s="241">
        <v>1</v>
      </c>
      <c r="AN48" s="240">
        <f t="shared" ref="AN48:AN58" si="40">+$AI48*AM48</f>
        <v>123.93593845216331</v>
      </c>
      <c r="AO48" s="241">
        <v>0</v>
      </c>
      <c r="AP48" s="240">
        <f t="shared" ref="AP48:AP58" si="41">+$AI48*AO48</f>
        <v>0</v>
      </c>
      <c r="AQ48" s="241">
        <v>0</v>
      </c>
      <c r="AR48" s="240">
        <f t="shared" ref="AR48:AR58" si="42">+$AI48*AQ48</f>
        <v>0</v>
      </c>
      <c r="AS48" s="241">
        <v>0</v>
      </c>
      <c r="AT48" s="240">
        <f t="shared" ref="AT48:AT60" si="43">+$AI48*AS48</f>
        <v>0</v>
      </c>
    </row>
    <row r="49" spans="2:46" s="253" customFormat="1" x14ac:dyDescent="0.2">
      <c r="B49" s="241" t="str">
        <f>"Wash"&amp;"residential"&amp;C49</f>
        <v>WashresidentialWRREC95</v>
      </c>
      <c r="C49" s="232" t="s">
        <v>948</v>
      </c>
      <c r="D49" s="232" t="s">
        <v>950</v>
      </c>
      <c r="E49" s="238">
        <v>5.47</v>
      </c>
      <c r="F49" s="238">
        <v>5.47</v>
      </c>
      <c r="G49" s="238">
        <v>5.84</v>
      </c>
      <c r="H49" s="261"/>
      <c r="I49" s="243">
        <v>29052.565000000002</v>
      </c>
      <c r="J49" s="243">
        <v>29340.120000000003</v>
      </c>
      <c r="K49" s="243">
        <v>29219.68</v>
      </c>
      <c r="L49" s="243">
        <v>29441.510000000002</v>
      </c>
      <c r="M49" s="243">
        <v>29338.49</v>
      </c>
      <c r="N49" s="243">
        <v>29481.95</v>
      </c>
      <c r="O49" s="243">
        <v>29347.850000000002</v>
      </c>
      <c r="P49" s="243">
        <v>29364.495000000003</v>
      </c>
      <c r="Q49" s="243">
        <v>29257.785</v>
      </c>
      <c r="R49" s="243">
        <v>31400.294999999998</v>
      </c>
      <c r="S49" s="243">
        <v>31303.575000000001</v>
      </c>
      <c r="T49" s="243">
        <v>31392.1</v>
      </c>
      <c r="U49" s="263">
        <f t="shared" si="26"/>
        <v>357940.41499999998</v>
      </c>
      <c r="W49" s="264">
        <f t="shared" si="27"/>
        <v>5311.255027422304</v>
      </c>
      <c r="X49" s="264">
        <f t="shared" si="28"/>
        <v>5363.8244972577704</v>
      </c>
      <c r="Y49" s="264">
        <f t="shared" si="29"/>
        <v>5341.8062157221211</v>
      </c>
      <c r="Z49" s="264">
        <f t="shared" si="30"/>
        <v>5382.3601462522856</v>
      </c>
      <c r="AA49" s="264">
        <f t="shared" si="31"/>
        <v>5363.5265082266915</v>
      </c>
      <c r="AB49" s="264">
        <f t="shared" si="32"/>
        <v>5389.7531992687391</v>
      </c>
      <c r="AC49" s="264">
        <f t="shared" si="33"/>
        <v>5365.2376599634372</v>
      </c>
      <c r="AD49" s="264">
        <f t="shared" si="34"/>
        <v>5368.280621572213</v>
      </c>
      <c r="AE49" s="264">
        <f t="shared" si="35"/>
        <v>5348.7723948811699</v>
      </c>
      <c r="AF49" s="264">
        <f t="shared" si="36"/>
        <v>5376.7628424657532</v>
      </c>
      <c r="AG49" s="264">
        <f t="shared" si="37"/>
        <v>5360.2011986301368</v>
      </c>
      <c r="AH49" s="264">
        <f t="shared" si="38"/>
        <v>5375.3595890410961</v>
      </c>
      <c r="AI49" s="264">
        <f t="shared" si="24"/>
        <v>5362.2616583919762</v>
      </c>
      <c r="AJ49" s="264">
        <f t="shared" si="39"/>
        <v>64347.139900703718</v>
      </c>
      <c r="AM49" s="241">
        <v>1</v>
      </c>
      <c r="AN49" s="240">
        <f t="shared" si="40"/>
        <v>5362.2616583919762</v>
      </c>
      <c r="AO49" s="241">
        <v>0</v>
      </c>
      <c r="AP49" s="240">
        <f t="shared" si="41"/>
        <v>0</v>
      </c>
      <c r="AQ49" s="241">
        <v>0</v>
      </c>
      <c r="AR49" s="240">
        <f t="shared" si="42"/>
        <v>0</v>
      </c>
      <c r="AS49" s="241">
        <v>0</v>
      </c>
      <c r="AT49" s="240">
        <f t="shared" si="43"/>
        <v>0</v>
      </c>
    </row>
    <row r="50" spans="2:46" s="253" customFormat="1" x14ac:dyDescent="0.2">
      <c r="B50" s="241" t="str">
        <f>"Wash"&amp;"residential"&amp;C50</f>
        <v>WashresidentialVRRECHEL</v>
      </c>
      <c r="C50" s="232" t="s">
        <v>776</v>
      </c>
      <c r="D50" s="232" t="s">
        <v>781</v>
      </c>
      <c r="E50" s="238">
        <v>5.47</v>
      </c>
      <c r="F50" s="238">
        <v>5.47</v>
      </c>
      <c r="G50" s="238">
        <v>5.84</v>
      </c>
      <c r="H50" s="261"/>
      <c r="I50" s="243">
        <v>5.47</v>
      </c>
      <c r="J50" s="243">
        <v>5.47</v>
      </c>
      <c r="K50" s="243">
        <v>5.47</v>
      </c>
      <c r="L50" s="243">
        <v>5.47</v>
      </c>
      <c r="M50" s="243">
        <v>5.47</v>
      </c>
      <c r="N50" s="243">
        <v>5.47</v>
      </c>
      <c r="O50" s="243">
        <v>5.47</v>
      </c>
      <c r="P50" s="243">
        <v>5.47</v>
      </c>
      <c r="Q50" s="243">
        <v>5.47</v>
      </c>
      <c r="R50" s="243">
        <v>5.84</v>
      </c>
      <c r="S50" s="243">
        <v>5.84</v>
      </c>
      <c r="T50" s="243">
        <v>5.84</v>
      </c>
      <c r="U50" s="263">
        <f t="shared" si="26"/>
        <v>66.75</v>
      </c>
      <c r="W50" s="264">
        <f t="shared" si="27"/>
        <v>1</v>
      </c>
      <c r="X50" s="264">
        <f t="shared" si="28"/>
        <v>1</v>
      </c>
      <c r="Y50" s="264">
        <f t="shared" si="29"/>
        <v>1</v>
      </c>
      <c r="Z50" s="264">
        <f t="shared" si="30"/>
        <v>1</v>
      </c>
      <c r="AA50" s="264">
        <f t="shared" si="31"/>
        <v>1</v>
      </c>
      <c r="AB50" s="264">
        <f t="shared" si="32"/>
        <v>1</v>
      </c>
      <c r="AC50" s="264">
        <f t="shared" si="33"/>
        <v>1</v>
      </c>
      <c r="AD50" s="264">
        <f t="shared" si="34"/>
        <v>1</v>
      </c>
      <c r="AE50" s="264">
        <f t="shared" si="35"/>
        <v>1</v>
      </c>
      <c r="AF50" s="264">
        <f t="shared" si="36"/>
        <v>1</v>
      </c>
      <c r="AG50" s="264">
        <f t="shared" si="37"/>
        <v>1</v>
      </c>
      <c r="AH50" s="264">
        <f t="shared" si="38"/>
        <v>1</v>
      </c>
      <c r="AI50" s="264">
        <f t="shared" si="24"/>
        <v>1</v>
      </c>
      <c r="AJ50" s="264">
        <f t="shared" si="39"/>
        <v>12</v>
      </c>
      <c r="AM50" s="241">
        <v>1</v>
      </c>
      <c r="AN50" s="240">
        <f t="shared" si="40"/>
        <v>1</v>
      </c>
      <c r="AO50" s="241">
        <v>0</v>
      </c>
      <c r="AP50" s="240">
        <f t="shared" si="41"/>
        <v>0</v>
      </c>
      <c r="AQ50" s="241">
        <v>0</v>
      </c>
      <c r="AR50" s="240">
        <f t="shared" si="42"/>
        <v>0</v>
      </c>
      <c r="AS50" s="241">
        <v>0</v>
      </c>
      <c r="AT50" s="240">
        <f t="shared" si="43"/>
        <v>0</v>
      </c>
    </row>
    <row r="51" spans="2:46" s="253" customFormat="1" x14ac:dyDescent="0.2">
      <c r="B51" s="241" t="str">
        <f t="shared" si="25"/>
        <v>WashresidentialCRREC95</v>
      </c>
      <c r="C51" s="232" t="s">
        <v>419</v>
      </c>
      <c r="D51" s="232" t="s">
        <v>428</v>
      </c>
      <c r="E51" s="238">
        <v>5.47</v>
      </c>
      <c r="F51" s="238">
        <v>5.47</v>
      </c>
      <c r="G51" s="238">
        <v>5.84</v>
      </c>
      <c r="H51" s="261"/>
      <c r="I51" s="243">
        <v>0</v>
      </c>
      <c r="J51" s="243">
        <v>4.0999999999999996</v>
      </c>
      <c r="K51" s="243">
        <v>4.0999999999999996</v>
      </c>
      <c r="L51" s="243">
        <v>5.47</v>
      </c>
      <c r="M51" s="243">
        <v>5.47</v>
      </c>
      <c r="N51" s="243">
        <v>0</v>
      </c>
      <c r="O51" s="243">
        <v>0</v>
      </c>
      <c r="P51" s="243">
        <v>0</v>
      </c>
      <c r="Q51" s="243">
        <v>3.48</v>
      </c>
      <c r="R51" s="243">
        <v>0</v>
      </c>
      <c r="S51" s="243">
        <v>0</v>
      </c>
      <c r="T51" s="243">
        <v>0</v>
      </c>
      <c r="U51" s="263">
        <f t="shared" si="26"/>
        <v>22.619999999999997</v>
      </c>
      <c r="W51" s="264">
        <f t="shared" si="27"/>
        <v>0</v>
      </c>
      <c r="X51" s="264">
        <f t="shared" si="28"/>
        <v>0.74954296160877509</v>
      </c>
      <c r="Y51" s="264">
        <f t="shared" si="29"/>
        <v>0.74954296160877509</v>
      </c>
      <c r="Z51" s="264">
        <f t="shared" si="30"/>
        <v>1</v>
      </c>
      <c r="AA51" s="264">
        <f t="shared" si="31"/>
        <v>1</v>
      </c>
      <c r="AB51" s="264">
        <f t="shared" si="32"/>
        <v>0</v>
      </c>
      <c r="AC51" s="264">
        <f t="shared" si="33"/>
        <v>0</v>
      </c>
      <c r="AD51" s="264">
        <f t="shared" si="34"/>
        <v>0</v>
      </c>
      <c r="AE51" s="264">
        <f t="shared" si="35"/>
        <v>0.63619744058500916</v>
      </c>
      <c r="AF51" s="264">
        <f t="shared" si="36"/>
        <v>0</v>
      </c>
      <c r="AG51" s="264">
        <f t="shared" si="37"/>
        <v>0</v>
      </c>
      <c r="AH51" s="264">
        <f t="shared" si="38"/>
        <v>0</v>
      </c>
      <c r="AI51" s="264">
        <f t="shared" si="24"/>
        <v>0.34460694698354666</v>
      </c>
      <c r="AJ51" s="264">
        <f t="shared" si="39"/>
        <v>4.1352833638025599</v>
      </c>
      <c r="AM51" s="241">
        <v>1</v>
      </c>
      <c r="AN51" s="240">
        <f t="shared" si="40"/>
        <v>0.34460694698354666</v>
      </c>
      <c r="AO51" s="241">
        <v>0</v>
      </c>
      <c r="AP51" s="240">
        <f t="shared" si="41"/>
        <v>0</v>
      </c>
      <c r="AQ51" s="241">
        <v>0</v>
      </c>
      <c r="AR51" s="240">
        <f t="shared" si="42"/>
        <v>0</v>
      </c>
      <c r="AS51" s="241">
        <v>0</v>
      </c>
      <c r="AT51" s="240">
        <f t="shared" si="43"/>
        <v>0</v>
      </c>
    </row>
    <row r="52" spans="2:46" s="253" customFormat="1" x14ac:dyDescent="0.2">
      <c r="B52" s="241" t="str">
        <f>"Wash"&amp;"residential"&amp;C52</f>
        <v>WashresidentialRPLUS</v>
      </c>
      <c r="C52" s="232" t="s">
        <v>1297</v>
      </c>
      <c r="D52" s="232" t="s">
        <v>1298</v>
      </c>
      <c r="E52" s="238"/>
      <c r="F52" s="238"/>
      <c r="G52" s="238">
        <v>12</v>
      </c>
      <c r="H52" s="261"/>
      <c r="I52" s="243">
        <v>20</v>
      </c>
      <c r="J52" s="243">
        <v>30</v>
      </c>
      <c r="K52" s="243">
        <v>30</v>
      </c>
      <c r="L52" s="243">
        <v>37.5</v>
      </c>
      <c r="M52" s="243">
        <v>37.5</v>
      </c>
      <c r="N52" s="243">
        <v>40</v>
      </c>
      <c r="O52" s="243">
        <v>40</v>
      </c>
      <c r="P52" s="243">
        <v>37.5</v>
      </c>
      <c r="Q52" s="243">
        <v>37.5</v>
      </c>
      <c r="R52" s="243">
        <v>48</v>
      </c>
      <c r="S52" s="243">
        <v>48</v>
      </c>
      <c r="T52" s="243">
        <v>60</v>
      </c>
      <c r="U52" s="263">
        <f t="shared" si="26"/>
        <v>466</v>
      </c>
      <c r="W52" s="264">
        <f t="shared" si="27"/>
        <v>0</v>
      </c>
      <c r="X52" s="264">
        <f t="shared" si="28"/>
        <v>0</v>
      </c>
      <c r="Y52" s="264">
        <f t="shared" si="29"/>
        <v>0</v>
      </c>
      <c r="Z52" s="264">
        <f t="shared" si="30"/>
        <v>0</v>
      </c>
      <c r="AA52" s="264">
        <f t="shared" si="31"/>
        <v>0</v>
      </c>
      <c r="AB52" s="264">
        <f t="shared" si="32"/>
        <v>0</v>
      </c>
      <c r="AC52" s="264">
        <f t="shared" si="33"/>
        <v>0</v>
      </c>
      <c r="AD52" s="264">
        <f t="shared" si="34"/>
        <v>0</v>
      </c>
      <c r="AE52" s="264">
        <f t="shared" si="35"/>
        <v>0</v>
      </c>
      <c r="AF52" s="264">
        <f t="shared" si="36"/>
        <v>4</v>
      </c>
      <c r="AG52" s="264">
        <f t="shared" si="37"/>
        <v>4</v>
      </c>
      <c r="AH52" s="264">
        <f t="shared" si="38"/>
        <v>5</v>
      </c>
      <c r="AI52" s="264">
        <f t="shared" si="24"/>
        <v>1.0833333333333333</v>
      </c>
      <c r="AJ52" s="264">
        <f t="shared" si="39"/>
        <v>13</v>
      </c>
      <c r="AM52" s="241">
        <v>0</v>
      </c>
      <c r="AN52" s="240">
        <f t="shared" si="40"/>
        <v>0</v>
      </c>
      <c r="AO52" s="241">
        <v>0</v>
      </c>
      <c r="AP52" s="240">
        <f t="shared" si="41"/>
        <v>0</v>
      </c>
      <c r="AQ52" s="241">
        <v>0</v>
      </c>
      <c r="AR52" s="240">
        <f t="shared" si="42"/>
        <v>0</v>
      </c>
      <c r="AS52" s="241">
        <v>1</v>
      </c>
      <c r="AT52" s="240">
        <f t="shared" si="43"/>
        <v>1.0833333333333333</v>
      </c>
    </row>
    <row r="53" spans="2:46" s="253" customFormat="1" x14ac:dyDescent="0.2">
      <c r="B53" s="241" t="str">
        <f t="shared" si="25"/>
        <v>WashresidentialVRREC95</v>
      </c>
      <c r="C53" s="232" t="s">
        <v>780</v>
      </c>
      <c r="D53" s="232" t="s">
        <v>785</v>
      </c>
      <c r="E53" s="238">
        <v>5.47</v>
      </c>
      <c r="F53" s="238">
        <v>5.47</v>
      </c>
      <c r="G53" s="238">
        <v>5.84</v>
      </c>
      <c r="H53" s="261"/>
      <c r="I53" s="243">
        <v>0</v>
      </c>
      <c r="J53" s="243">
        <v>0</v>
      </c>
      <c r="K53" s="243">
        <v>-10.94</v>
      </c>
      <c r="L53" s="243">
        <v>0</v>
      </c>
      <c r="M53" s="243">
        <v>0</v>
      </c>
      <c r="N53" s="243">
        <v>0</v>
      </c>
      <c r="O53" s="243">
        <v>0</v>
      </c>
      <c r="P53" s="243">
        <v>0</v>
      </c>
      <c r="Q53" s="243">
        <v>0</v>
      </c>
      <c r="R53" s="243">
        <v>0</v>
      </c>
      <c r="S53" s="243">
        <v>-2.92</v>
      </c>
      <c r="T53" s="243">
        <v>0</v>
      </c>
      <c r="U53" s="263">
        <f t="shared" si="26"/>
        <v>-13.86</v>
      </c>
      <c r="W53" s="264">
        <f t="shared" si="27"/>
        <v>0</v>
      </c>
      <c r="X53" s="264">
        <f t="shared" si="28"/>
        <v>0</v>
      </c>
      <c r="Y53" s="264">
        <f t="shared" si="29"/>
        <v>-2</v>
      </c>
      <c r="Z53" s="264">
        <f t="shared" si="30"/>
        <v>0</v>
      </c>
      <c r="AA53" s="264">
        <f t="shared" si="31"/>
        <v>0</v>
      </c>
      <c r="AB53" s="264">
        <f t="shared" si="32"/>
        <v>0</v>
      </c>
      <c r="AC53" s="264">
        <f t="shared" si="33"/>
        <v>0</v>
      </c>
      <c r="AD53" s="264">
        <f t="shared" si="34"/>
        <v>0</v>
      </c>
      <c r="AE53" s="264">
        <f t="shared" si="35"/>
        <v>0</v>
      </c>
      <c r="AF53" s="264">
        <f t="shared" si="36"/>
        <v>0</v>
      </c>
      <c r="AG53" s="264">
        <f t="shared" si="37"/>
        <v>-0.5</v>
      </c>
      <c r="AH53" s="264">
        <f t="shared" si="38"/>
        <v>0</v>
      </c>
      <c r="AI53" s="264">
        <f t="shared" si="24"/>
        <v>-0.20833333333333334</v>
      </c>
      <c r="AJ53" s="264">
        <f t="shared" si="39"/>
        <v>-2.5</v>
      </c>
      <c r="AM53" s="241">
        <v>0</v>
      </c>
      <c r="AN53" s="240">
        <f t="shared" si="40"/>
        <v>0</v>
      </c>
      <c r="AO53" s="241">
        <v>0</v>
      </c>
      <c r="AP53" s="240">
        <f t="shared" si="41"/>
        <v>0</v>
      </c>
      <c r="AQ53" s="241">
        <v>0</v>
      </c>
      <c r="AR53" s="240">
        <f t="shared" si="42"/>
        <v>0</v>
      </c>
      <c r="AS53" s="241">
        <v>1</v>
      </c>
      <c r="AT53" s="240">
        <f t="shared" si="43"/>
        <v>-0.20833333333333334</v>
      </c>
    </row>
    <row r="54" spans="2:46" s="253" customFormat="1" x14ac:dyDescent="0.2">
      <c r="B54" s="241" t="str">
        <f>"Wash"&amp;"residential"&amp;C54</f>
        <v>WashresidentialRGREC</v>
      </c>
      <c r="C54" s="232" t="s">
        <v>421</v>
      </c>
      <c r="D54" s="232" t="s">
        <v>430</v>
      </c>
      <c r="E54" s="238">
        <v>5.47</v>
      </c>
      <c r="F54" s="238">
        <v>5.47</v>
      </c>
      <c r="G54" s="238">
        <v>5.47</v>
      </c>
      <c r="H54" s="261"/>
      <c r="I54" s="243">
        <v>0</v>
      </c>
      <c r="J54" s="243">
        <v>0</v>
      </c>
      <c r="K54" s="243">
        <v>0</v>
      </c>
      <c r="L54" s="243">
        <v>13.04</v>
      </c>
      <c r="M54" s="243">
        <v>0</v>
      </c>
      <c r="N54" s="243">
        <v>-13.04</v>
      </c>
      <c r="O54" s="243">
        <v>0</v>
      </c>
      <c r="P54" s="243">
        <v>0</v>
      </c>
      <c r="Q54" s="243">
        <v>0</v>
      </c>
      <c r="R54" s="243">
        <v>0</v>
      </c>
      <c r="S54" s="243">
        <v>0</v>
      </c>
      <c r="T54" s="243">
        <v>0</v>
      </c>
      <c r="U54" s="263">
        <f t="shared" ref="U54:U59" si="44">SUM(I54:T54)</f>
        <v>0</v>
      </c>
      <c r="W54" s="264">
        <f t="shared" si="27"/>
        <v>0</v>
      </c>
      <c r="X54" s="264">
        <f t="shared" si="28"/>
        <v>0</v>
      </c>
      <c r="Y54" s="264">
        <f t="shared" si="29"/>
        <v>0</v>
      </c>
      <c r="Z54" s="264">
        <f t="shared" si="30"/>
        <v>2.3839122486288846</v>
      </c>
      <c r="AA54" s="264">
        <f t="shared" si="31"/>
        <v>0</v>
      </c>
      <c r="AB54" s="264">
        <f t="shared" si="32"/>
        <v>-2.3839122486288846</v>
      </c>
      <c r="AC54" s="264">
        <f t="shared" si="33"/>
        <v>0</v>
      </c>
      <c r="AD54" s="264">
        <f t="shared" si="34"/>
        <v>0</v>
      </c>
      <c r="AE54" s="264">
        <f t="shared" si="35"/>
        <v>0</v>
      </c>
      <c r="AF54" s="264">
        <f t="shared" si="36"/>
        <v>0</v>
      </c>
      <c r="AG54" s="264">
        <f t="shared" si="37"/>
        <v>0</v>
      </c>
      <c r="AH54" s="264">
        <f t="shared" si="38"/>
        <v>0</v>
      </c>
      <c r="AI54" s="265">
        <f t="shared" si="24"/>
        <v>0</v>
      </c>
      <c r="AJ54" s="264">
        <f t="shared" si="39"/>
        <v>0</v>
      </c>
      <c r="AM54" s="241">
        <v>1</v>
      </c>
      <c r="AN54" s="240">
        <f t="shared" si="40"/>
        <v>0</v>
      </c>
      <c r="AO54" s="241">
        <v>0</v>
      </c>
      <c r="AP54" s="240">
        <f t="shared" si="41"/>
        <v>0</v>
      </c>
      <c r="AQ54" s="241">
        <v>0</v>
      </c>
      <c r="AR54" s="240">
        <f t="shared" si="42"/>
        <v>0</v>
      </c>
      <c r="AS54" s="241">
        <v>0</v>
      </c>
      <c r="AT54" s="240">
        <f>+$AI54*AS54</f>
        <v>0</v>
      </c>
    </row>
    <row r="55" spans="2:46" s="45" customFormat="1" x14ac:dyDescent="0.2">
      <c r="B55" s="1" t="str">
        <f>"Wash"&amp;"residential"&amp;C55</f>
        <v>WashresidentialRPSBE</v>
      </c>
      <c r="C55" s="58" t="s">
        <v>1225</v>
      </c>
      <c r="D55" s="58" t="s">
        <v>1367</v>
      </c>
      <c r="E55" s="11">
        <v>1.07</v>
      </c>
      <c r="F55" s="11">
        <v>1.07</v>
      </c>
      <c r="G55" s="11">
        <v>1.66</v>
      </c>
      <c r="H55" s="55"/>
      <c r="I55" s="14">
        <v>5810.8399999999992</v>
      </c>
      <c r="J55" s="14">
        <v>5875.32</v>
      </c>
      <c r="K55" s="14">
        <v>5849.01</v>
      </c>
      <c r="L55" s="14">
        <v>5885.7750000000005</v>
      </c>
      <c r="M55" s="14">
        <v>5867.0349999999999</v>
      </c>
      <c r="N55" s="14">
        <v>5900.93</v>
      </c>
      <c r="O55" s="14">
        <v>5871.42</v>
      </c>
      <c r="P55" s="14">
        <v>5879.0199999999995</v>
      </c>
      <c r="Q55" s="14">
        <v>5858.65</v>
      </c>
      <c r="R55" s="14">
        <v>9122.494999999999</v>
      </c>
      <c r="S55" s="14">
        <v>9093.9849999999988</v>
      </c>
      <c r="T55" s="14">
        <v>9130.9800000000014</v>
      </c>
      <c r="U55" s="73">
        <f t="shared" si="44"/>
        <v>80145.459999999992</v>
      </c>
      <c r="W55" s="49">
        <f t="shared" si="27"/>
        <v>5430.6915887850455</v>
      </c>
      <c r="X55" s="49">
        <f t="shared" si="28"/>
        <v>5490.9532710280364</v>
      </c>
      <c r="Y55" s="49">
        <f t="shared" si="29"/>
        <v>5466.3644859813085</v>
      </c>
      <c r="Z55" s="49">
        <f t="shared" si="30"/>
        <v>5500.7242990654204</v>
      </c>
      <c r="AA55" s="49">
        <f t="shared" si="31"/>
        <v>5483.2102803738317</v>
      </c>
      <c r="AB55" s="49">
        <f t="shared" si="32"/>
        <v>5514.8878504672894</v>
      </c>
      <c r="AC55" s="49">
        <f t="shared" si="33"/>
        <v>5487.3084112149527</v>
      </c>
      <c r="AD55" s="49">
        <f t="shared" si="34"/>
        <v>5494.4112149532702</v>
      </c>
      <c r="AE55" s="49">
        <f t="shared" si="35"/>
        <v>5475.3738317757006</v>
      </c>
      <c r="AF55" s="49">
        <f t="shared" si="36"/>
        <v>5495.4789156626503</v>
      </c>
      <c r="AG55" s="49">
        <f t="shared" si="37"/>
        <v>5478.3042168674692</v>
      </c>
      <c r="AH55" s="49">
        <f t="shared" si="38"/>
        <v>5500.5903614457839</v>
      </c>
      <c r="AI55" s="49">
        <f t="shared" si="24"/>
        <v>5484.8582273017282</v>
      </c>
      <c r="AJ55" s="49">
        <f t="shared" si="39"/>
        <v>65818.298727620742</v>
      </c>
      <c r="AM55" s="212">
        <v>0</v>
      </c>
      <c r="AN55" s="25">
        <f t="shared" si="40"/>
        <v>0</v>
      </c>
      <c r="AO55" s="212">
        <v>0</v>
      </c>
      <c r="AP55" s="25">
        <f t="shared" si="41"/>
        <v>0</v>
      </c>
      <c r="AQ55" s="212">
        <v>0</v>
      </c>
      <c r="AR55" s="25">
        <f t="shared" si="42"/>
        <v>0</v>
      </c>
      <c r="AS55" s="212">
        <v>0</v>
      </c>
      <c r="AT55" s="25">
        <f>+$AI55*AS55</f>
        <v>0</v>
      </c>
    </row>
    <row r="56" spans="2:46" s="45" customFormat="1" x14ac:dyDescent="0.2">
      <c r="B56" s="1" t="str">
        <f>"Wash"&amp;"residential"&amp;C56</f>
        <v>WashresidentialRPSMO</v>
      </c>
      <c r="C56" s="58" t="s">
        <v>1183</v>
      </c>
      <c r="D56" s="58" t="s">
        <v>1366</v>
      </c>
      <c r="E56" s="11">
        <v>0.31</v>
      </c>
      <c r="F56" s="11">
        <v>0.31</v>
      </c>
      <c r="G56" s="11">
        <v>0.83</v>
      </c>
      <c r="H56" s="55"/>
      <c r="I56" s="14">
        <v>34.24</v>
      </c>
      <c r="J56" s="14">
        <v>33.700000000000003</v>
      </c>
      <c r="K56" s="14">
        <v>33.17</v>
      </c>
      <c r="L56" s="14">
        <v>33.17</v>
      </c>
      <c r="M56" s="14">
        <v>33.17</v>
      </c>
      <c r="N56" s="14">
        <v>33.17</v>
      </c>
      <c r="O56" s="14">
        <v>33.17</v>
      </c>
      <c r="P56" s="14">
        <v>33.17</v>
      </c>
      <c r="Q56" s="14">
        <v>33.17</v>
      </c>
      <c r="R56" s="14">
        <v>44.82</v>
      </c>
      <c r="S56" s="14">
        <v>51.46</v>
      </c>
      <c r="T56" s="14">
        <v>49.8</v>
      </c>
      <c r="U56" s="73">
        <f t="shared" si="44"/>
        <v>446.21000000000004</v>
      </c>
      <c r="W56" s="49">
        <f t="shared" si="27"/>
        <v>110.45161290322581</v>
      </c>
      <c r="X56" s="49">
        <f t="shared" si="28"/>
        <v>108.70967741935485</v>
      </c>
      <c r="Y56" s="49">
        <f t="shared" si="29"/>
        <v>107</v>
      </c>
      <c r="Z56" s="49">
        <f t="shared" si="30"/>
        <v>107</v>
      </c>
      <c r="AA56" s="49">
        <f t="shared" si="31"/>
        <v>107</v>
      </c>
      <c r="AB56" s="49">
        <f t="shared" si="32"/>
        <v>107</v>
      </c>
      <c r="AC56" s="49">
        <f t="shared" si="33"/>
        <v>107</v>
      </c>
      <c r="AD56" s="49">
        <f t="shared" si="34"/>
        <v>107</v>
      </c>
      <c r="AE56" s="49">
        <f t="shared" si="35"/>
        <v>107</v>
      </c>
      <c r="AF56" s="49">
        <f t="shared" si="36"/>
        <v>54</v>
      </c>
      <c r="AG56" s="49">
        <f t="shared" si="37"/>
        <v>62.000000000000007</v>
      </c>
      <c r="AH56" s="49">
        <f t="shared" si="38"/>
        <v>60</v>
      </c>
      <c r="AI56" s="49">
        <f t="shared" si="24"/>
        <v>95.346774193548399</v>
      </c>
      <c r="AJ56" s="49">
        <f t="shared" si="39"/>
        <v>1144.1612903225807</v>
      </c>
      <c r="AM56" s="212">
        <v>0</v>
      </c>
      <c r="AN56" s="25">
        <f t="shared" si="40"/>
        <v>0</v>
      </c>
      <c r="AO56" s="212">
        <v>0</v>
      </c>
      <c r="AP56" s="25">
        <f t="shared" si="41"/>
        <v>0</v>
      </c>
      <c r="AQ56" s="212">
        <v>0</v>
      </c>
      <c r="AR56" s="25">
        <f t="shared" si="42"/>
        <v>0</v>
      </c>
      <c r="AS56" s="212">
        <v>0</v>
      </c>
      <c r="AT56" s="25">
        <f>+$AI56*AS56</f>
        <v>0</v>
      </c>
    </row>
    <row r="57" spans="2:46" s="45" customFormat="1" x14ac:dyDescent="0.2">
      <c r="B57" s="1" t="str">
        <f>"Wash"&amp;"residential"&amp;C57</f>
        <v>WashresidentialRPSBO</v>
      </c>
      <c r="C57" s="58" t="s">
        <v>1182</v>
      </c>
      <c r="D57" s="58" t="s">
        <v>1366</v>
      </c>
      <c r="E57" s="11">
        <v>0</v>
      </c>
      <c r="F57" s="11">
        <v>0</v>
      </c>
      <c r="G57" s="11">
        <v>0</v>
      </c>
      <c r="H57" s="55"/>
      <c r="I57" s="14">
        <v>0</v>
      </c>
      <c r="J57" s="14">
        <v>0</v>
      </c>
      <c r="K57" s="14">
        <v>0</v>
      </c>
      <c r="L57" s="14">
        <v>0</v>
      </c>
      <c r="M57" s="14">
        <v>0</v>
      </c>
      <c r="N57" s="14">
        <v>0</v>
      </c>
      <c r="O57" s="14">
        <v>0</v>
      </c>
      <c r="P57" s="14">
        <v>0</v>
      </c>
      <c r="Q57" s="14">
        <v>0.54</v>
      </c>
      <c r="R57" s="14">
        <v>0</v>
      </c>
      <c r="S57" s="14">
        <v>0</v>
      </c>
      <c r="T57" s="14">
        <v>0</v>
      </c>
      <c r="U57" s="73">
        <f t="shared" si="44"/>
        <v>0.54</v>
      </c>
      <c r="W57" s="49">
        <f t="shared" si="27"/>
        <v>0</v>
      </c>
      <c r="X57" s="49">
        <f t="shared" si="28"/>
        <v>0</v>
      </c>
      <c r="Y57" s="49">
        <f t="shared" si="29"/>
        <v>0</v>
      </c>
      <c r="Z57" s="49">
        <f t="shared" si="30"/>
        <v>0</v>
      </c>
      <c r="AA57" s="49">
        <f t="shared" si="31"/>
        <v>0</v>
      </c>
      <c r="AB57" s="49">
        <f t="shared" si="32"/>
        <v>0</v>
      </c>
      <c r="AC57" s="49">
        <f t="shared" si="33"/>
        <v>0</v>
      </c>
      <c r="AD57" s="49">
        <f t="shared" si="34"/>
        <v>0</v>
      </c>
      <c r="AE57" s="49">
        <f t="shared" si="35"/>
        <v>0</v>
      </c>
      <c r="AF57" s="49">
        <f t="shared" si="36"/>
        <v>0</v>
      </c>
      <c r="AG57" s="49">
        <f t="shared" si="37"/>
        <v>0</v>
      </c>
      <c r="AH57" s="49">
        <f t="shared" si="38"/>
        <v>0</v>
      </c>
      <c r="AI57" s="49">
        <f t="shared" si="24"/>
        <v>0</v>
      </c>
      <c r="AJ57" s="49">
        <f t="shared" si="39"/>
        <v>0</v>
      </c>
      <c r="AM57" s="212">
        <v>0</v>
      </c>
      <c r="AN57" s="25">
        <f t="shared" si="40"/>
        <v>0</v>
      </c>
      <c r="AO57" s="212">
        <v>0</v>
      </c>
      <c r="AP57" s="25">
        <f t="shared" si="41"/>
        <v>0</v>
      </c>
      <c r="AQ57" s="212">
        <v>0</v>
      </c>
      <c r="AR57" s="25">
        <f t="shared" si="42"/>
        <v>0</v>
      </c>
      <c r="AS57" s="212">
        <v>0</v>
      </c>
      <c r="AT57" s="25">
        <f>+$AI57*AS57</f>
        <v>0</v>
      </c>
    </row>
    <row r="58" spans="2:46" s="45" customFormat="1" x14ac:dyDescent="0.2">
      <c r="B58" s="1" t="str">
        <f>"Wash"&amp;"residential"&amp;C58</f>
        <v>WashresidentialRSNP</v>
      </c>
      <c r="C58" s="58" t="s">
        <v>69</v>
      </c>
      <c r="D58" s="58" t="s">
        <v>101</v>
      </c>
      <c r="E58" s="11">
        <v>0</v>
      </c>
      <c r="F58" s="11">
        <v>0</v>
      </c>
      <c r="G58" s="11">
        <v>0</v>
      </c>
      <c r="H58" s="55"/>
      <c r="I58" s="14">
        <v>0</v>
      </c>
      <c r="J58" s="14">
        <v>0</v>
      </c>
      <c r="K58" s="14">
        <v>0</v>
      </c>
      <c r="L58" s="14">
        <v>0</v>
      </c>
      <c r="M58" s="14">
        <v>0</v>
      </c>
      <c r="N58" s="14">
        <v>0</v>
      </c>
      <c r="O58" s="14">
        <v>0</v>
      </c>
      <c r="P58" s="14">
        <v>0</v>
      </c>
      <c r="Q58" s="14">
        <v>0</v>
      </c>
      <c r="R58" s="14">
        <v>0</v>
      </c>
      <c r="S58" s="14">
        <v>0</v>
      </c>
      <c r="T58" s="14">
        <v>0</v>
      </c>
      <c r="U58" s="73">
        <f t="shared" si="44"/>
        <v>0</v>
      </c>
      <c r="W58" s="49">
        <f t="shared" si="27"/>
        <v>0</v>
      </c>
      <c r="X58" s="49">
        <f t="shared" si="28"/>
        <v>0</v>
      </c>
      <c r="Y58" s="49">
        <f t="shared" si="29"/>
        <v>0</v>
      </c>
      <c r="Z58" s="49">
        <f t="shared" si="30"/>
        <v>0</v>
      </c>
      <c r="AA58" s="49">
        <f t="shared" si="31"/>
        <v>0</v>
      </c>
      <c r="AB58" s="49">
        <f t="shared" si="32"/>
        <v>0</v>
      </c>
      <c r="AC58" s="49">
        <f t="shared" si="33"/>
        <v>0</v>
      </c>
      <c r="AD58" s="49">
        <f t="shared" si="34"/>
        <v>0</v>
      </c>
      <c r="AE58" s="49">
        <f t="shared" si="35"/>
        <v>0</v>
      </c>
      <c r="AF58" s="49">
        <f t="shared" si="36"/>
        <v>0</v>
      </c>
      <c r="AG58" s="49">
        <f t="shared" si="37"/>
        <v>0</v>
      </c>
      <c r="AH58" s="49">
        <f t="shared" si="38"/>
        <v>0</v>
      </c>
      <c r="AI58" s="49">
        <f t="shared" si="24"/>
        <v>0</v>
      </c>
      <c r="AJ58" s="49">
        <f t="shared" si="39"/>
        <v>0</v>
      </c>
      <c r="AM58" s="212">
        <v>1</v>
      </c>
      <c r="AN58" s="25">
        <f t="shared" si="40"/>
        <v>0</v>
      </c>
      <c r="AO58" s="212">
        <v>0</v>
      </c>
      <c r="AP58" s="25">
        <f t="shared" si="41"/>
        <v>0</v>
      </c>
      <c r="AQ58" s="212">
        <v>0</v>
      </c>
      <c r="AR58" s="25">
        <f t="shared" si="42"/>
        <v>0</v>
      </c>
      <c r="AS58" s="212">
        <v>0</v>
      </c>
      <c r="AT58" s="25">
        <f>+$AI58*AS58</f>
        <v>0</v>
      </c>
    </row>
    <row r="59" spans="2:46" s="45" customFormat="1" x14ac:dyDescent="0.2">
      <c r="B59" s="1" t="str">
        <f>"Washresidential Extras"&amp;C59</f>
        <v>Washresidential ExtrasVRTPLACE</v>
      </c>
      <c r="C59" s="58" t="s">
        <v>750</v>
      </c>
      <c r="D59" s="58" t="s">
        <v>775</v>
      </c>
      <c r="E59" s="11">
        <v>0</v>
      </c>
      <c r="F59" s="11">
        <v>0</v>
      </c>
      <c r="G59" s="11">
        <v>0</v>
      </c>
      <c r="H59" s="55"/>
      <c r="I59" s="14">
        <v>0</v>
      </c>
      <c r="J59" s="14">
        <v>0</v>
      </c>
      <c r="K59" s="14">
        <v>0</v>
      </c>
      <c r="L59" s="14">
        <v>0</v>
      </c>
      <c r="M59" s="14">
        <v>0</v>
      </c>
      <c r="N59" s="14">
        <v>0</v>
      </c>
      <c r="O59" s="14">
        <v>0</v>
      </c>
      <c r="P59" s="14">
        <v>0</v>
      </c>
      <c r="Q59" s="14">
        <v>0</v>
      </c>
      <c r="R59" s="14">
        <v>0</v>
      </c>
      <c r="S59" s="14">
        <v>0</v>
      </c>
      <c r="T59" s="14">
        <v>0</v>
      </c>
      <c r="U59" s="73">
        <f t="shared" si="44"/>
        <v>0</v>
      </c>
      <c r="W59" s="49">
        <f t="shared" si="27"/>
        <v>0</v>
      </c>
      <c r="X59" s="49">
        <f t="shared" si="28"/>
        <v>0</v>
      </c>
      <c r="Y59" s="49">
        <f t="shared" si="29"/>
        <v>0</v>
      </c>
      <c r="Z59" s="49">
        <f t="shared" si="30"/>
        <v>0</v>
      </c>
      <c r="AA59" s="49">
        <f t="shared" si="31"/>
        <v>0</v>
      </c>
      <c r="AB59" s="49">
        <f t="shared" si="32"/>
        <v>0</v>
      </c>
      <c r="AC59" s="49">
        <f t="shared" si="33"/>
        <v>0</v>
      </c>
      <c r="AD59" s="49">
        <f t="shared" si="34"/>
        <v>0</v>
      </c>
      <c r="AE59" s="49">
        <f t="shared" si="35"/>
        <v>0</v>
      </c>
      <c r="AF59" s="49">
        <f t="shared" si="36"/>
        <v>0</v>
      </c>
      <c r="AG59" s="49">
        <f t="shared" si="37"/>
        <v>0</v>
      </c>
      <c r="AH59" s="49">
        <f t="shared" si="38"/>
        <v>0</v>
      </c>
      <c r="AI59" s="49">
        <f t="shared" si="24"/>
        <v>0</v>
      </c>
      <c r="AJ59" s="49">
        <f t="shared" si="39"/>
        <v>0</v>
      </c>
    </row>
    <row r="60" spans="2:46" s="45" customFormat="1" x14ac:dyDescent="0.2">
      <c r="C60" s="82"/>
      <c r="D60" s="40"/>
      <c r="E60" s="55"/>
      <c r="F60" s="55"/>
      <c r="G60" s="55"/>
      <c r="H60" s="55"/>
      <c r="I60" s="46"/>
      <c r="J60" s="49"/>
      <c r="K60" s="49"/>
      <c r="L60" s="48"/>
      <c r="M60" s="48"/>
      <c r="N60" s="48"/>
      <c r="O60" s="48"/>
      <c r="P60" s="48"/>
      <c r="Q60" s="48"/>
      <c r="R60" s="48"/>
      <c r="S60" s="49"/>
      <c r="T60" s="49"/>
      <c r="U60" s="48"/>
      <c r="W60" s="48"/>
      <c r="X60" s="48"/>
      <c r="Y60" s="48"/>
      <c r="Z60" s="48"/>
      <c r="AA60" s="48"/>
      <c r="AB60" s="48"/>
      <c r="AC60" s="48"/>
      <c r="AD60" s="48"/>
      <c r="AE60" s="48"/>
      <c r="AF60" s="48"/>
      <c r="AG60" s="48"/>
      <c r="AH60" s="48"/>
      <c r="AI60" s="47"/>
      <c r="AJ60" s="40"/>
      <c r="AM60" s="212">
        <v>0</v>
      </c>
      <c r="AN60" s="25">
        <f>+$AI60*AM60</f>
        <v>0</v>
      </c>
      <c r="AO60" s="212">
        <v>0</v>
      </c>
      <c r="AP60" s="25">
        <f>+$AI60*AO60</f>
        <v>0</v>
      </c>
      <c r="AQ60" s="212">
        <v>0</v>
      </c>
      <c r="AR60" s="25">
        <f>+$AI60*AQ60</f>
        <v>0</v>
      </c>
      <c r="AS60" s="212">
        <v>1</v>
      </c>
      <c r="AT60" s="25">
        <f t="shared" si="43"/>
        <v>0</v>
      </c>
    </row>
    <row r="61" spans="2:46" s="45" customFormat="1" x14ac:dyDescent="0.2">
      <c r="D61" s="52" t="s">
        <v>6</v>
      </c>
      <c r="E61" s="55"/>
      <c r="F61" s="55"/>
      <c r="G61" s="55"/>
      <c r="H61" s="55"/>
      <c r="I61" s="97">
        <f t="shared" ref="I61:U61" si="45">SUM(I48:I60)</f>
        <v>35586.35</v>
      </c>
      <c r="J61" s="97">
        <f t="shared" si="45"/>
        <v>35979.254999999997</v>
      </c>
      <c r="K61" s="97">
        <f t="shared" si="45"/>
        <v>35818.305</v>
      </c>
      <c r="L61" s="97">
        <f t="shared" si="45"/>
        <v>36082.435000000005</v>
      </c>
      <c r="M61" s="97">
        <f t="shared" si="45"/>
        <v>35942.154999999999</v>
      </c>
      <c r="N61" s="97">
        <f t="shared" si="45"/>
        <v>36129.49</v>
      </c>
      <c r="O61" s="97">
        <f t="shared" si="45"/>
        <v>35962.51</v>
      </c>
      <c r="P61" s="97">
        <f t="shared" si="45"/>
        <v>36004.775000000001</v>
      </c>
      <c r="Q61" s="97">
        <f t="shared" si="45"/>
        <v>35881.714999999997</v>
      </c>
      <c r="R61" s="97">
        <f t="shared" si="45"/>
        <v>41351.449999999997</v>
      </c>
      <c r="S61" s="97">
        <f t="shared" si="45"/>
        <v>41229.94</v>
      </c>
      <c r="T61" s="97">
        <f t="shared" si="45"/>
        <v>41380.400000000001</v>
      </c>
      <c r="U61" s="97">
        <f t="shared" si="45"/>
        <v>447348.78</v>
      </c>
      <c r="W61" s="188">
        <f t="shared" ref="W61:AJ61" si="46">+SUM(W48:W53)</f>
        <v>5433.5045703839132</v>
      </c>
      <c r="X61" s="188">
        <f t="shared" si="46"/>
        <v>5491.8162705667291</v>
      </c>
      <c r="Y61" s="188">
        <f t="shared" si="46"/>
        <v>5467.2989031078623</v>
      </c>
      <c r="Z61" s="188">
        <f t="shared" si="46"/>
        <v>5505.1096892138949</v>
      </c>
      <c r="AA61" s="188">
        <f t="shared" si="46"/>
        <v>5485.2742230347358</v>
      </c>
      <c r="AB61" s="188">
        <f t="shared" si="46"/>
        <v>5515.2522851919566</v>
      </c>
      <c r="AC61" s="188">
        <f t="shared" si="46"/>
        <v>5487.7367458866547</v>
      </c>
      <c r="AD61" s="188">
        <f t="shared" si="46"/>
        <v>5494.5310786106038</v>
      </c>
      <c r="AE61" s="188">
        <f t="shared" si="46"/>
        <v>5475.6590493601461</v>
      </c>
      <c r="AF61" s="188">
        <f t="shared" si="46"/>
        <v>5506.7628424657532</v>
      </c>
      <c r="AG61" s="188">
        <f t="shared" si="46"/>
        <v>5489.7011986301368</v>
      </c>
      <c r="AH61" s="188">
        <f t="shared" si="46"/>
        <v>5508.3595890410961</v>
      </c>
      <c r="AI61" s="275">
        <f t="shared" si="46"/>
        <v>5488.417203791123</v>
      </c>
      <c r="AJ61" s="188">
        <f t="shared" si="46"/>
        <v>65861.006445493491</v>
      </c>
      <c r="AN61" s="189">
        <f>SUM(AN48:AN60)</f>
        <v>5487.542203791123</v>
      </c>
      <c r="AP61" s="189">
        <f>SUM(AP48:AP60)</f>
        <v>0</v>
      </c>
      <c r="AR61" s="189">
        <f>SUM(AR48:AR60)</f>
        <v>0</v>
      </c>
      <c r="AT61" s="189">
        <f>SUM(AT48:AT60)</f>
        <v>0.87499999999999989</v>
      </c>
    </row>
    <row r="62" spans="2:46" s="45" customFormat="1" x14ac:dyDescent="0.2">
      <c r="E62" s="55"/>
      <c r="F62" s="55"/>
      <c r="G62" s="55"/>
      <c r="H62" s="55"/>
      <c r="I62" s="46"/>
      <c r="J62" s="49" t="str">
        <f>IF(H62="","",(#REF!/H62)+(#REF!/#REF!))</f>
        <v/>
      </c>
      <c r="K62" s="49" t="str">
        <f>IF(H62="","",J62/12)</f>
        <v/>
      </c>
      <c r="L62" s="46"/>
      <c r="M62" s="73"/>
      <c r="N62" s="46"/>
      <c r="U62" s="73"/>
      <c r="W62" s="48"/>
      <c r="X62" s="48"/>
      <c r="Y62" s="48"/>
      <c r="Z62" s="48"/>
      <c r="AA62" s="48"/>
      <c r="AB62" s="48"/>
      <c r="AC62" s="48"/>
      <c r="AD62" s="48"/>
      <c r="AE62" s="48"/>
      <c r="AF62" s="48"/>
      <c r="AG62" s="48"/>
      <c r="AH62" s="48"/>
      <c r="AI62" s="47">
        <f t="shared" si="24"/>
        <v>0</v>
      </c>
      <c r="AJ62" s="40"/>
    </row>
    <row r="63" spans="2:46" s="45" customFormat="1" x14ac:dyDescent="0.2">
      <c r="C63" s="62" t="s">
        <v>433</v>
      </c>
      <c r="D63" s="62" t="s">
        <v>433</v>
      </c>
      <c r="E63" s="55"/>
      <c r="F63" s="55"/>
      <c r="G63" s="55"/>
      <c r="H63" s="55"/>
      <c r="I63" s="46"/>
      <c r="J63" s="49" t="str">
        <f>IF(H63="","",(#REF!/H63)+(#REF!/#REF!))</f>
        <v/>
      </c>
      <c r="K63" s="49" t="str">
        <f>IF(H63="","",J63/12)</f>
        <v/>
      </c>
      <c r="AI63" s="47">
        <f t="shared" si="24"/>
        <v>0</v>
      </c>
      <c r="AJ63" s="40"/>
    </row>
    <row r="64" spans="2:46" s="253" customFormat="1" x14ac:dyDescent="0.2">
      <c r="B64" s="241" t="str">
        <f>"Wash"&amp;"multifamily"&amp;C64</f>
        <v>WashmultifamilyWMFREC</v>
      </c>
      <c r="C64" s="232" t="s">
        <v>951</v>
      </c>
      <c r="D64" s="232" t="s">
        <v>952</v>
      </c>
      <c r="E64" s="238">
        <v>3.84</v>
      </c>
      <c r="F64" s="238">
        <v>3.84</v>
      </c>
      <c r="G64" s="238">
        <v>4.0999999999999996</v>
      </c>
      <c r="H64" s="261"/>
      <c r="I64" s="243">
        <v>2311.6799999999998</v>
      </c>
      <c r="J64" s="243">
        <v>3256.32</v>
      </c>
      <c r="K64" s="243">
        <v>1739.52</v>
      </c>
      <c r="L64" s="243">
        <v>2985.6</v>
      </c>
      <c r="M64" s="243">
        <v>3256.32</v>
      </c>
      <c r="N64" s="243">
        <v>3244.8</v>
      </c>
      <c r="O64" s="243">
        <v>3256.32</v>
      </c>
      <c r="P64" s="243">
        <v>3256.32</v>
      </c>
      <c r="Q64" s="243">
        <v>3256.32</v>
      </c>
      <c r="R64" s="243">
        <v>3476.8</v>
      </c>
      <c r="S64" s="243">
        <v>3476.8</v>
      </c>
      <c r="T64" s="243">
        <v>3476.8</v>
      </c>
      <c r="U64" s="263">
        <f>SUM(I64:T64)</f>
        <v>36993.600000000006</v>
      </c>
      <c r="W64" s="264">
        <f t="shared" ref="W64:Y66" si="47">IFERROR(I64/$E64,0)</f>
        <v>602</v>
      </c>
      <c r="X64" s="264">
        <f t="shared" si="47"/>
        <v>848.00000000000011</v>
      </c>
      <c r="Y64" s="264">
        <f t="shared" si="47"/>
        <v>453</v>
      </c>
      <c r="Z64" s="264">
        <f t="shared" ref="Z64:AE66" si="48">IFERROR(L64/$F64,0)</f>
        <v>777.5</v>
      </c>
      <c r="AA64" s="264">
        <f t="shared" si="48"/>
        <v>848.00000000000011</v>
      </c>
      <c r="AB64" s="264">
        <f t="shared" si="48"/>
        <v>845.00000000000011</v>
      </c>
      <c r="AC64" s="264">
        <f t="shared" si="48"/>
        <v>848.00000000000011</v>
      </c>
      <c r="AD64" s="264">
        <f t="shared" si="48"/>
        <v>848.00000000000011</v>
      </c>
      <c r="AE64" s="264">
        <f t="shared" si="48"/>
        <v>848.00000000000011</v>
      </c>
      <c r="AF64" s="264">
        <f t="shared" ref="AF64:AH66" si="49">IFERROR(R64/$G64,0)</f>
        <v>848.00000000000011</v>
      </c>
      <c r="AG64" s="264">
        <f t="shared" si="49"/>
        <v>848.00000000000011</v>
      </c>
      <c r="AH64" s="264">
        <f t="shared" si="49"/>
        <v>848.00000000000011</v>
      </c>
      <c r="AI64" s="265">
        <f t="shared" si="24"/>
        <v>788.45833333333337</v>
      </c>
      <c r="AJ64" s="266">
        <f>SUM(W64:AH64)</f>
        <v>9461.5</v>
      </c>
      <c r="AM64" s="241">
        <v>1</v>
      </c>
      <c r="AN64" s="240">
        <f>+$AI64*AM64</f>
        <v>788.45833333333337</v>
      </c>
      <c r="AO64" s="241">
        <v>0</v>
      </c>
      <c r="AP64" s="240">
        <f>+$AI64*AO64</f>
        <v>0</v>
      </c>
      <c r="AQ64" s="241">
        <v>0</v>
      </c>
      <c r="AR64" s="240">
        <f>+$AI64*AQ64</f>
        <v>0</v>
      </c>
      <c r="AS64" s="241">
        <v>0</v>
      </c>
      <c r="AT64" s="240">
        <f>+$AI64*AS64</f>
        <v>0</v>
      </c>
    </row>
    <row r="65" spans="2:46" s="45" customFormat="1" x14ac:dyDescent="0.2">
      <c r="B65" s="1" t="str">
        <f>"Wash"&amp;"multifamily"&amp;C65</f>
        <v>WashmultifamilyVMFREC</v>
      </c>
      <c r="C65" s="58" t="s">
        <v>787</v>
      </c>
      <c r="D65" s="58" t="s">
        <v>435</v>
      </c>
      <c r="E65" s="11">
        <v>3.84</v>
      </c>
      <c r="F65" s="11">
        <v>3.84</v>
      </c>
      <c r="G65" s="11">
        <v>4.0999999999999996</v>
      </c>
      <c r="H65" s="55"/>
      <c r="I65" s="14">
        <v>0</v>
      </c>
      <c r="J65" s="14">
        <v>0</v>
      </c>
      <c r="K65" s="14">
        <v>372.48</v>
      </c>
      <c r="L65" s="14">
        <v>0</v>
      </c>
      <c r="M65" s="14">
        <v>0</v>
      </c>
      <c r="N65" s="14">
        <v>0</v>
      </c>
      <c r="O65" s="14">
        <v>0</v>
      </c>
      <c r="P65" s="14">
        <v>0</v>
      </c>
      <c r="Q65" s="14">
        <v>0</v>
      </c>
      <c r="R65" s="14">
        <v>0</v>
      </c>
      <c r="S65" s="14">
        <v>0</v>
      </c>
      <c r="T65" s="14">
        <v>0</v>
      </c>
      <c r="U65" s="73">
        <f>SUM(I65:T65)</f>
        <v>372.48</v>
      </c>
      <c r="W65" s="49">
        <f t="shared" si="47"/>
        <v>0</v>
      </c>
      <c r="X65" s="49">
        <f t="shared" si="47"/>
        <v>0</v>
      </c>
      <c r="Y65" s="49">
        <f t="shared" si="47"/>
        <v>97.000000000000014</v>
      </c>
      <c r="Z65" s="49">
        <f t="shared" si="48"/>
        <v>0</v>
      </c>
      <c r="AA65" s="49">
        <f t="shared" si="48"/>
        <v>0</v>
      </c>
      <c r="AB65" s="49">
        <f t="shared" si="48"/>
        <v>0</v>
      </c>
      <c r="AC65" s="49">
        <f t="shared" si="48"/>
        <v>0</v>
      </c>
      <c r="AD65" s="49">
        <f t="shared" si="48"/>
        <v>0</v>
      </c>
      <c r="AE65" s="49">
        <f t="shared" si="48"/>
        <v>0</v>
      </c>
      <c r="AF65" s="49">
        <f t="shared" si="49"/>
        <v>0</v>
      </c>
      <c r="AG65" s="49">
        <f t="shared" si="49"/>
        <v>0</v>
      </c>
      <c r="AH65" s="49">
        <f t="shared" si="49"/>
        <v>0</v>
      </c>
      <c r="AI65" s="47">
        <f>+IFERROR(AVERAGE(W65:AH65),0)</f>
        <v>8.0833333333333339</v>
      </c>
      <c r="AJ65" s="134">
        <f>SUM(W65:AH65)</f>
        <v>97.000000000000014</v>
      </c>
    </row>
    <row r="66" spans="2:46" s="45" customFormat="1" x14ac:dyDescent="0.2">
      <c r="B66" s="1" t="str">
        <f>"Wash"&amp;"multifamily"&amp;C66</f>
        <v>WashmultifamilyRPSMMF</v>
      </c>
      <c r="C66" s="58" t="s">
        <v>1179</v>
      </c>
      <c r="D66" s="58" t="s">
        <v>1366</v>
      </c>
      <c r="E66" s="11">
        <v>0.31</v>
      </c>
      <c r="F66" s="11">
        <v>0.31</v>
      </c>
      <c r="G66" s="11">
        <v>0.5</v>
      </c>
      <c r="H66" s="55"/>
      <c r="I66" s="14">
        <v>186.62</v>
      </c>
      <c r="J66" s="14">
        <v>262.88</v>
      </c>
      <c r="K66" s="14">
        <v>170.5</v>
      </c>
      <c r="L66" s="14">
        <v>239.6</v>
      </c>
      <c r="M66" s="14">
        <v>262.88</v>
      </c>
      <c r="N66" s="14">
        <v>261.98</v>
      </c>
      <c r="O66" s="14">
        <v>262.88</v>
      </c>
      <c r="P66" s="14">
        <v>262.88</v>
      </c>
      <c r="Q66" s="14">
        <v>262.88</v>
      </c>
      <c r="R66" s="14">
        <v>424</v>
      </c>
      <c r="S66" s="14">
        <v>424</v>
      </c>
      <c r="T66" s="14">
        <v>424</v>
      </c>
      <c r="U66" s="73">
        <f>SUM(I66:T66)</f>
        <v>3445.1000000000004</v>
      </c>
      <c r="W66" s="49">
        <f t="shared" si="47"/>
        <v>602</v>
      </c>
      <c r="X66" s="49">
        <f t="shared" si="47"/>
        <v>848</v>
      </c>
      <c r="Y66" s="49">
        <f t="shared" si="47"/>
        <v>550</v>
      </c>
      <c r="Z66" s="49">
        <f t="shared" si="48"/>
        <v>772.90322580645159</v>
      </c>
      <c r="AA66" s="49">
        <f t="shared" si="48"/>
        <v>848</v>
      </c>
      <c r="AB66" s="49">
        <f t="shared" si="48"/>
        <v>845.09677419354841</v>
      </c>
      <c r="AC66" s="49">
        <f t="shared" si="48"/>
        <v>848</v>
      </c>
      <c r="AD66" s="49">
        <f t="shared" si="48"/>
        <v>848</v>
      </c>
      <c r="AE66" s="49">
        <f t="shared" si="48"/>
        <v>848</v>
      </c>
      <c r="AF66" s="49">
        <f t="shared" si="49"/>
        <v>848</v>
      </c>
      <c r="AG66" s="49">
        <f t="shared" si="49"/>
        <v>848</v>
      </c>
      <c r="AH66" s="49">
        <f t="shared" si="49"/>
        <v>848</v>
      </c>
      <c r="AI66" s="47">
        <f>+IFERROR(AVERAGE(W66:AH66),0)</f>
        <v>796.16666666666663</v>
      </c>
      <c r="AJ66" s="134">
        <f>SUM(W66:AH66)</f>
        <v>9554</v>
      </c>
    </row>
    <row r="67" spans="2:46" s="45" customFormat="1" x14ac:dyDescent="0.2">
      <c r="E67" s="55"/>
      <c r="F67" s="55"/>
      <c r="G67" s="55"/>
      <c r="H67" s="55"/>
      <c r="I67" s="46"/>
      <c r="J67" s="49" t="str">
        <f>IF(H67="","",(#REF!/H67)+(#REF!/#REF!))</f>
        <v/>
      </c>
      <c r="K67" s="49" t="str">
        <f>IF(H67="","",J67/12)</f>
        <v/>
      </c>
      <c r="L67" s="72"/>
      <c r="M67" s="73"/>
      <c r="U67" s="73"/>
      <c r="W67" s="48"/>
      <c r="X67" s="48"/>
      <c r="Y67" s="48"/>
      <c r="Z67" s="48"/>
      <c r="AA67" s="48"/>
      <c r="AB67" s="48"/>
      <c r="AC67" s="48"/>
      <c r="AD67" s="48"/>
      <c r="AE67" s="48"/>
      <c r="AF67" s="48"/>
      <c r="AG67" s="48"/>
      <c r="AH67" s="48"/>
      <c r="AI67" s="47">
        <f t="shared" si="24"/>
        <v>0</v>
      </c>
      <c r="AJ67" s="40"/>
    </row>
    <row r="68" spans="2:46" s="45" customFormat="1" x14ac:dyDescent="0.2">
      <c r="D68" s="52" t="s">
        <v>23</v>
      </c>
      <c r="E68" s="55"/>
      <c r="F68" s="55"/>
      <c r="G68" s="55"/>
      <c r="H68" s="55"/>
      <c r="I68" s="97">
        <f>SUM(I64:I67)</f>
        <v>2498.2999999999997</v>
      </c>
      <c r="J68" s="97">
        <f t="shared" ref="J68:U68" si="50">SUM(J64:J67)</f>
        <v>3519.2000000000003</v>
      </c>
      <c r="K68" s="97">
        <f t="shared" si="50"/>
        <v>2282.5</v>
      </c>
      <c r="L68" s="97">
        <f t="shared" si="50"/>
        <v>3225.2</v>
      </c>
      <c r="M68" s="97">
        <f t="shared" si="50"/>
        <v>3519.2000000000003</v>
      </c>
      <c r="N68" s="97">
        <f t="shared" si="50"/>
        <v>3506.78</v>
      </c>
      <c r="O68" s="97">
        <f t="shared" si="50"/>
        <v>3519.2000000000003</v>
      </c>
      <c r="P68" s="97">
        <f t="shared" si="50"/>
        <v>3519.2000000000003</v>
      </c>
      <c r="Q68" s="97">
        <f t="shared" si="50"/>
        <v>3519.2000000000003</v>
      </c>
      <c r="R68" s="97">
        <f t="shared" si="50"/>
        <v>3900.8</v>
      </c>
      <c r="S68" s="97">
        <f t="shared" si="50"/>
        <v>3900.8</v>
      </c>
      <c r="T68" s="97">
        <f t="shared" si="50"/>
        <v>3900.8</v>
      </c>
      <c r="U68" s="97">
        <f t="shared" si="50"/>
        <v>40811.180000000008</v>
      </c>
      <c r="W68" s="188">
        <f>+W64</f>
        <v>602</v>
      </c>
      <c r="X68" s="188">
        <f t="shared" ref="X68:AJ68" si="51">+X64</f>
        <v>848.00000000000011</v>
      </c>
      <c r="Y68" s="188">
        <f t="shared" si="51"/>
        <v>453</v>
      </c>
      <c r="Z68" s="188">
        <f t="shared" si="51"/>
        <v>777.5</v>
      </c>
      <c r="AA68" s="188">
        <f t="shared" si="51"/>
        <v>848.00000000000011</v>
      </c>
      <c r="AB68" s="188">
        <f t="shared" si="51"/>
        <v>845.00000000000011</v>
      </c>
      <c r="AC68" s="188">
        <f t="shared" si="51"/>
        <v>848.00000000000011</v>
      </c>
      <c r="AD68" s="188">
        <f t="shared" si="51"/>
        <v>848.00000000000011</v>
      </c>
      <c r="AE68" s="188">
        <f t="shared" si="51"/>
        <v>848.00000000000011</v>
      </c>
      <c r="AF68" s="188">
        <f t="shared" si="51"/>
        <v>848.00000000000011</v>
      </c>
      <c r="AG68" s="188">
        <f t="shared" si="51"/>
        <v>848.00000000000011</v>
      </c>
      <c r="AH68" s="188">
        <f t="shared" si="51"/>
        <v>848.00000000000011</v>
      </c>
      <c r="AI68" s="188">
        <f t="shared" si="51"/>
        <v>788.45833333333337</v>
      </c>
      <c r="AJ68" s="188">
        <f t="shared" si="51"/>
        <v>9461.5</v>
      </c>
      <c r="AN68" s="189">
        <f>SUM(AN64:AN66)</f>
        <v>788.45833333333337</v>
      </c>
      <c r="AP68" s="189">
        <f>SUM(AP64:AP66)</f>
        <v>0</v>
      </c>
      <c r="AR68" s="189">
        <f>SUM(AR64:AR66)</f>
        <v>0</v>
      </c>
      <c r="AT68" s="189">
        <f>SUM(AT64:AT66)</f>
        <v>0</v>
      </c>
    </row>
    <row r="69" spans="2:46" s="45" customFormat="1" x14ac:dyDescent="0.2">
      <c r="D69" s="52"/>
      <c r="E69" s="55"/>
      <c r="F69" s="55"/>
      <c r="G69" s="55"/>
      <c r="H69" s="55"/>
      <c r="I69" s="46"/>
      <c r="J69" s="49" t="str">
        <f>IF(H69="","",(#REF!/H69)+(#REF!/#REF!))</f>
        <v/>
      </c>
      <c r="K69" s="49" t="str">
        <f>IF(H69="","",J69/12)</f>
        <v/>
      </c>
      <c r="L69" s="72"/>
      <c r="M69" s="73"/>
      <c r="U69" s="73"/>
      <c r="W69" s="48"/>
      <c r="X69" s="48"/>
      <c r="Y69" s="48"/>
      <c r="Z69" s="48"/>
      <c r="AA69" s="48"/>
      <c r="AB69" s="48"/>
      <c r="AC69" s="48"/>
      <c r="AD69" s="48"/>
      <c r="AE69" s="48"/>
      <c r="AF69" s="48"/>
      <c r="AG69" s="48"/>
      <c r="AH69" s="48"/>
      <c r="AI69" s="47"/>
      <c r="AJ69" s="40"/>
    </row>
    <row r="70" spans="2:46" s="45" customFormat="1" x14ac:dyDescent="0.2">
      <c r="C70" s="62" t="s">
        <v>7</v>
      </c>
      <c r="D70" s="62" t="s">
        <v>7</v>
      </c>
      <c r="E70" s="55"/>
      <c r="F70" s="55"/>
      <c r="G70" s="55"/>
      <c r="H70" s="55"/>
      <c r="I70" s="46"/>
      <c r="J70" s="49" t="str">
        <f>IF(H70="","",(#REF!/H70)+(#REF!/#REF!))</f>
        <v/>
      </c>
      <c r="K70" s="49" t="str">
        <f>IF(H70="","",J70/12)</f>
        <v/>
      </c>
      <c r="L70" s="46"/>
      <c r="M70" s="73"/>
      <c r="U70" s="73"/>
      <c r="AI70" s="47"/>
      <c r="AJ70" s="40"/>
    </row>
    <row r="71" spans="2:46" s="253" customFormat="1" x14ac:dyDescent="0.2">
      <c r="B71" s="241" t="str">
        <f>"Wash"&amp;"residential"&amp;C71</f>
        <v>WashresidentialWYDA</v>
      </c>
      <c r="C71" s="232" t="s">
        <v>953</v>
      </c>
      <c r="D71" s="232" t="s">
        <v>643</v>
      </c>
      <c r="E71" s="238">
        <v>85.84</v>
      </c>
      <c r="F71" s="238">
        <v>85.84</v>
      </c>
      <c r="G71" s="238">
        <v>91.65</v>
      </c>
      <c r="H71" s="267"/>
      <c r="I71" s="243">
        <v>738.22</v>
      </c>
      <c r="J71" s="243">
        <v>944.24</v>
      </c>
      <c r="K71" s="243">
        <v>1630.96</v>
      </c>
      <c r="L71" s="243">
        <v>378.71000000000004</v>
      </c>
      <c r="M71" s="243">
        <v>386.28</v>
      </c>
      <c r="N71" s="243">
        <v>0</v>
      </c>
      <c r="O71" s="243">
        <v>429.2</v>
      </c>
      <c r="P71" s="243">
        <v>47.21</v>
      </c>
      <c r="Q71" s="243">
        <v>549.37</v>
      </c>
      <c r="R71" s="243">
        <v>183.3</v>
      </c>
      <c r="S71" s="243">
        <v>645.85</v>
      </c>
      <c r="T71" s="243">
        <v>371.185</v>
      </c>
      <c r="U71" s="263">
        <f t="shared" ref="U71:U78" si="52">SUM(I71:T71)</f>
        <v>6304.5250000000005</v>
      </c>
      <c r="W71" s="264">
        <f t="shared" ref="W71:W78" si="53">IFERROR(I71/$E71,0)</f>
        <v>8.5999534016775403</v>
      </c>
      <c r="X71" s="264">
        <f t="shared" ref="X71:X78" si="54">IFERROR(J71/$E71,0)</f>
        <v>11</v>
      </c>
      <c r="Y71" s="264">
        <f t="shared" ref="Y71:Y78" si="55">IFERROR(K71/$E71,0)</f>
        <v>19</v>
      </c>
      <c r="Z71" s="264">
        <f t="shared" ref="Z71:Z78" si="56">IFERROR(L71/$F71,0)</f>
        <v>4.4118126747437092</v>
      </c>
      <c r="AA71" s="264">
        <f t="shared" ref="AA71:AA78" si="57">IFERROR(M71/$F71,0)</f>
        <v>4.4999999999999991</v>
      </c>
      <c r="AB71" s="264">
        <f t="shared" ref="AB71:AB78" si="58">IFERROR(N71/$F71,0)</f>
        <v>0</v>
      </c>
      <c r="AC71" s="264">
        <f t="shared" ref="AC71:AC78" si="59">IFERROR(O71/$F71,0)</f>
        <v>5</v>
      </c>
      <c r="AD71" s="264">
        <f t="shared" ref="AD71:AD78" si="60">IFERROR(P71/$F71,0)</f>
        <v>0.54997670083876982</v>
      </c>
      <c r="AE71" s="264">
        <f t="shared" ref="AE71:AE78" si="61">IFERROR(Q71/$F71,0)</f>
        <v>6.3999301025163096</v>
      </c>
      <c r="AF71" s="264">
        <f t="shared" ref="AF71:AF78" si="62">IFERROR(R71/$G71,0)</f>
        <v>2</v>
      </c>
      <c r="AG71" s="264">
        <f t="shared" ref="AG71:AG78" si="63">IFERROR(S71/$G71,0)</f>
        <v>7.0469176213857061</v>
      </c>
      <c r="AH71" s="264">
        <f t="shared" ref="AH71:AH78" si="64">IFERROR(T71/$G71,0)</f>
        <v>4.0500272776868522</v>
      </c>
      <c r="AI71" s="265">
        <f t="shared" si="24"/>
        <v>6.0465514815707406</v>
      </c>
      <c r="AJ71" s="266">
        <f t="shared" ref="AJ71:AJ78" si="65">SUM(W71:AH71)</f>
        <v>72.558617778848884</v>
      </c>
      <c r="AM71" s="241">
        <v>1</v>
      </c>
      <c r="AN71" s="240">
        <f>+$AI71*AM71</f>
        <v>6.0465514815707406</v>
      </c>
      <c r="AO71" s="241">
        <v>0</v>
      </c>
      <c r="AP71" s="240">
        <f>+$AI71*AO71</f>
        <v>0</v>
      </c>
      <c r="AQ71" s="241">
        <v>0</v>
      </c>
      <c r="AR71" s="240">
        <f>+$AI71*AQ71</f>
        <v>0</v>
      </c>
      <c r="AS71" s="241">
        <v>0</v>
      </c>
      <c r="AT71" s="240">
        <f>+$AI71*AS71</f>
        <v>0</v>
      </c>
    </row>
    <row r="72" spans="2:46" s="253" customFormat="1" x14ac:dyDescent="0.2">
      <c r="B72" s="241" t="str">
        <f>"Wash"&amp;"residential"&amp;C72</f>
        <v>WashresidentialWYDBM</v>
      </c>
      <c r="C72" s="232" t="s">
        <v>954</v>
      </c>
      <c r="D72" s="232" t="s">
        <v>446</v>
      </c>
      <c r="E72" s="238">
        <v>9.0299999999999994</v>
      </c>
      <c r="F72" s="238">
        <v>9.0299999999999994</v>
      </c>
      <c r="G72" s="238">
        <v>19.28</v>
      </c>
      <c r="H72" s="268"/>
      <c r="I72" s="243">
        <v>26885.949999999997</v>
      </c>
      <c r="J72" s="243">
        <v>27502.969999999998</v>
      </c>
      <c r="K72" s="243">
        <v>27146.239999999998</v>
      </c>
      <c r="L72" s="243">
        <v>27807.72</v>
      </c>
      <c r="M72" s="243">
        <v>27365.190000000002</v>
      </c>
      <c r="N72" s="243">
        <v>27877.87</v>
      </c>
      <c r="O72" s="243">
        <v>27421.82</v>
      </c>
      <c r="P72" s="243">
        <v>27704.424999999999</v>
      </c>
      <c r="Q72" s="243">
        <v>27320.305</v>
      </c>
      <c r="R72" s="273">
        <v>-65.159999999999982</v>
      </c>
      <c r="S72" s="273">
        <v>-7.08</v>
      </c>
      <c r="T72" s="243">
        <v>29551.399999999998</v>
      </c>
      <c r="U72" s="263">
        <f t="shared" si="52"/>
        <v>276511.65000000002</v>
      </c>
      <c r="W72" s="264">
        <f t="shared" si="53"/>
        <v>2977.4031007751937</v>
      </c>
      <c r="X72" s="264">
        <f t="shared" si="54"/>
        <v>3045.7331118493908</v>
      </c>
      <c r="Y72" s="264">
        <f t="shared" si="55"/>
        <v>3006.2281284606865</v>
      </c>
      <c r="Z72" s="264">
        <f t="shared" si="56"/>
        <v>3079.4817275747514</v>
      </c>
      <c r="AA72" s="264">
        <f t="shared" si="57"/>
        <v>3030.475083056479</v>
      </c>
      <c r="AB72" s="264">
        <f t="shared" si="58"/>
        <v>3087.250276854928</v>
      </c>
      <c r="AC72" s="264">
        <f t="shared" si="59"/>
        <v>3036.7464008859361</v>
      </c>
      <c r="AD72" s="264">
        <f t="shared" si="60"/>
        <v>3068.0426356589151</v>
      </c>
      <c r="AE72" s="264">
        <f t="shared" si="61"/>
        <v>3025.5044296788487</v>
      </c>
      <c r="AF72" s="264">
        <f t="shared" si="62"/>
        <v>-3.3796680497925302</v>
      </c>
      <c r="AG72" s="264">
        <f t="shared" si="63"/>
        <v>-0.3672199170124481</v>
      </c>
      <c r="AH72" s="264">
        <f t="shared" si="64"/>
        <v>1532.7489626556014</v>
      </c>
      <c r="AI72" s="265">
        <f t="shared" ref="AI72:AI78" si="66">+IFERROR(AVERAGE(W72:AH72),0)</f>
        <v>2407.1555807903273</v>
      </c>
      <c r="AJ72" s="266">
        <f t="shared" si="65"/>
        <v>28885.866969483926</v>
      </c>
      <c r="AM72" s="241">
        <v>1</v>
      </c>
      <c r="AN72" s="240">
        <f>+$AI72*AM72</f>
        <v>2407.1555807903273</v>
      </c>
      <c r="AO72" s="241">
        <v>0</v>
      </c>
      <c r="AP72" s="240">
        <f>+$AI72*AO72</f>
        <v>0</v>
      </c>
      <c r="AQ72" s="241">
        <v>0</v>
      </c>
      <c r="AR72" s="240">
        <f>+$AI72*AQ72</f>
        <v>0</v>
      </c>
      <c r="AS72" s="241">
        <v>0</v>
      </c>
      <c r="AT72" s="240">
        <f>+$AI72*AS72</f>
        <v>0</v>
      </c>
    </row>
    <row r="73" spans="2:46" s="253" customFormat="1" x14ac:dyDescent="0.2">
      <c r="B73" s="241" t="str">
        <f>"Wash"&amp;"residential"&amp;C73</f>
        <v>WashresidentialCYDBM96</v>
      </c>
      <c r="C73" s="232" t="s">
        <v>438</v>
      </c>
      <c r="D73" s="232" t="s">
        <v>448</v>
      </c>
      <c r="E73" s="238">
        <v>9.0299999999999994</v>
      </c>
      <c r="F73" s="238">
        <v>9.0299999999999994</v>
      </c>
      <c r="G73" s="238">
        <v>19.28</v>
      </c>
      <c r="H73" s="261"/>
      <c r="I73" s="243">
        <v>0</v>
      </c>
      <c r="J73" s="243">
        <v>6.77</v>
      </c>
      <c r="K73" s="243">
        <v>6.77</v>
      </c>
      <c r="L73" s="243">
        <v>0</v>
      </c>
      <c r="M73" s="243">
        <v>0</v>
      </c>
      <c r="N73" s="243">
        <v>0</v>
      </c>
      <c r="O73" s="243">
        <v>0</v>
      </c>
      <c r="P73" s="243">
        <v>0</v>
      </c>
      <c r="Q73" s="243">
        <v>0</v>
      </c>
      <c r="R73" s="243">
        <v>0</v>
      </c>
      <c r="S73" s="243">
        <v>0</v>
      </c>
      <c r="T73" s="243">
        <v>0</v>
      </c>
      <c r="U73" s="263">
        <f t="shared" si="52"/>
        <v>13.54</v>
      </c>
      <c r="W73" s="264">
        <f t="shared" si="53"/>
        <v>0</v>
      </c>
      <c r="X73" s="264">
        <f t="shared" si="54"/>
        <v>0.74972314507198223</v>
      </c>
      <c r="Y73" s="264">
        <f t="shared" si="55"/>
        <v>0.74972314507198223</v>
      </c>
      <c r="Z73" s="264">
        <f t="shared" si="56"/>
        <v>0</v>
      </c>
      <c r="AA73" s="264">
        <f t="shared" si="57"/>
        <v>0</v>
      </c>
      <c r="AB73" s="264">
        <f t="shared" si="58"/>
        <v>0</v>
      </c>
      <c r="AC73" s="264">
        <f t="shared" si="59"/>
        <v>0</v>
      </c>
      <c r="AD73" s="264">
        <f t="shared" si="60"/>
        <v>0</v>
      </c>
      <c r="AE73" s="264">
        <f t="shared" si="61"/>
        <v>0</v>
      </c>
      <c r="AF73" s="264">
        <f t="shared" si="62"/>
        <v>0</v>
      </c>
      <c r="AG73" s="264">
        <f t="shared" si="63"/>
        <v>0</v>
      </c>
      <c r="AH73" s="264">
        <f t="shared" si="64"/>
        <v>0</v>
      </c>
      <c r="AI73" s="265">
        <f t="shared" si="66"/>
        <v>0.12495385751199704</v>
      </c>
      <c r="AJ73" s="266">
        <f t="shared" si="65"/>
        <v>1.4994462901439645</v>
      </c>
      <c r="AM73" s="241">
        <v>1</v>
      </c>
      <c r="AN73" s="240">
        <f>+$AI73*AM73</f>
        <v>0.12495385751199704</v>
      </c>
      <c r="AO73" s="241">
        <v>0</v>
      </c>
      <c r="AP73" s="240">
        <f>+$AI73*AO73</f>
        <v>0</v>
      </c>
      <c r="AQ73" s="241">
        <v>0</v>
      </c>
      <c r="AR73" s="240">
        <f>+$AI73*AQ73</f>
        <v>0</v>
      </c>
      <c r="AS73" s="241">
        <v>0</v>
      </c>
      <c r="AT73" s="240">
        <f>+$AI73*AS73</f>
        <v>0</v>
      </c>
    </row>
    <row r="74" spans="2:46" s="45" customFormat="1" x14ac:dyDescent="0.2">
      <c r="B74" s="1" t="str">
        <f>"Wash"&amp;"residential extras"&amp;C74</f>
        <v>Washresidential extrasYDX</v>
      </c>
      <c r="C74" s="58" t="s">
        <v>439</v>
      </c>
      <c r="D74" s="58" t="s">
        <v>449</v>
      </c>
      <c r="E74" s="11">
        <v>3.16</v>
      </c>
      <c r="F74" s="11">
        <v>3.16</v>
      </c>
      <c r="G74" s="11">
        <v>3.37</v>
      </c>
      <c r="H74" s="46"/>
      <c r="I74" s="14">
        <v>158</v>
      </c>
      <c r="J74" s="14">
        <v>417.12</v>
      </c>
      <c r="K74" s="14">
        <v>328.64</v>
      </c>
      <c r="L74" s="14">
        <v>189.6</v>
      </c>
      <c r="M74" s="14">
        <v>224.36</v>
      </c>
      <c r="N74" s="14">
        <v>79</v>
      </c>
      <c r="O74" s="14">
        <v>300.2</v>
      </c>
      <c r="P74" s="14">
        <v>214.88</v>
      </c>
      <c r="Q74" s="14">
        <v>60.04</v>
      </c>
      <c r="R74" s="14">
        <v>117.95</v>
      </c>
      <c r="S74" s="14">
        <v>131.43</v>
      </c>
      <c r="T74" s="14">
        <v>155.02000000000001</v>
      </c>
      <c r="U74" s="73">
        <f t="shared" si="52"/>
        <v>2376.2399999999993</v>
      </c>
      <c r="W74" s="49">
        <f t="shared" si="53"/>
        <v>50</v>
      </c>
      <c r="X74" s="49">
        <f t="shared" si="54"/>
        <v>132</v>
      </c>
      <c r="Y74" s="49">
        <f t="shared" si="55"/>
        <v>103.99999999999999</v>
      </c>
      <c r="Z74" s="49">
        <f t="shared" si="56"/>
        <v>59.999999999999993</v>
      </c>
      <c r="AA74" s="49">
        <f t="shared" si="57"/>
        <v>71</v>
      </c>
      <c r="AB74" s="49">
        <f t="shared" si="58"/>
        <v>25</v>
      </c>
      <c r="AC74" s="49">
        <f t="shared" si="59"/>
        <v>94.999999999999986</v>
      </c>
      <c r="AD74" s="49">
        <f t="shared" si="60"/>
        <v>68</v>
      </c>
      <c r="AE74" s="49">
        <f t="shared" si="61"/>
        <v>19</v>
      </c>
      <c r="AF74" s="49">
        <f t="shared" si="62"/>
        <v>35</v>
      </c>
      <c r="AG74" s="49">
        <f t="shared" si="63"/>
        <v>39</v>
      </c>
      <c r="AH74" s="49">
        <f t="shared" si="64"/>
        <v>46</v>
      </c>
      <c r="AI74" s="47">
        <f t="shared" si="66"/>
        <v>62</v>
      </c>
      <c r="AJ74" s="134">
        <f t="shared" si="65"/>
        <v>744</v>
      </c>
    </row>
    <row r="75" spans="2:46" s="45" customFormat="1" x14ac:dyDescent="0.2">
      <c r="B75" s="1" t="str">
        <f>"Wash"&amp;"residential extras"&amp;C75</f>
        <v>Washresidential extrasYDPLACE</v>
      </c>
      <c r="C75" s="58" t="s">
        <v>443</v>
      </c>
      <c r="D75" s="58" t="s">
        <v>453</v>
      </c>
      <c r="E75" s="11">
        <v>0</v>
      </c>
      <c r="F75" s="11">
        <v>0</v>
      </c>
      <c r="G75" s="11">
        <v>0</v>
      </c>
      <c r="H75" s="46"/>
      <c r="I75" s="14">
        <v>0</v>
      </c>
      <c r="J75" s="14">
        <v>0</v>
      </c>
      <c r="K75" s="14">
        <v>0</v>
      </c>
      <c r="L75" s="14">
        <v>0</v>
      </c>
      <c r="M75" s="14">
        <v>0</v>
      </c>
      <c r="N75" s="14">
        <v>0</v>
      </c>
      <c r="O75" s="14">
        <v>0</v>
      </c>
      <c r="P75" s="14">
        <v>0</v>
      </c>
      <c r="Q75" s="14">
        <v>0</v>
      </c>
      <c r="R75" s="14">
        <v>0</v>
      </c>
      <c r="S75" s="14">
        <v>0</v>
      </c>
      <c r="T75" s="14">
        <v>0</v>
      </c>
      <c r="U75" s="73">
        <f t="shared" si="52"/>
        <v>0</v>
      </c>
      <c r="W75" s="49">
        <f t="shared" si="53"/>
        <v>0</v>
      </c>
      <c r="X75" s="49">
        <f t="shared" si="54"/>
        <v>0</v>
      </c>
      <c r="Y75" s="49">
        <f t="shared" si="55"/>
        <v>0</v>
      </c>
      <c r="Z75" s="49">
        <f t="shared" si="56"/>
        <v>0</v>
      </c>
      <c r="AA75" s="49">
        <f t="shared" si="57"/>
        <v>0</v>
      </c>
      <c r="AB75" s="49">
        <f t="shared" si="58"/>
        <v>0</v>
      </c>
      <c r="AC75" s="49">
        <f t="shared" si="59"/>
        <v>0</v>
      </c>
      <c r="AD75" s="49">
        <f t="shared" si="60"/>
        <v>0</v>
      </c>
      <c r="AE75" s="49">
        <f t="shared" si="61"/>
        <v>0</v>
      </c>
      <c r="AF75" s="49">
        <f t="shared" si="62"/>
        <v>0</v>
      </c>
      <c r="AG75" s="49">
        <f t="shared" si="63"/>
        <v>0</v>
      </c>
      <c r="AH75" s="49">
        <f t="shared" si="64"/>
        <v>0</v>
      </c>
      <c r="AI75" s="47">
        <f t="shared" si="66"/>
        <v>0</v>
      </c>
      <c r="AJ75" s="134">
        <f t="shared" si="65"/>
        <v>0</v>
      </c>
    </row>
    <row r="76" spans="2:46" s="45" customFormat="1" x14ac:dyDescent="0.2">
      <c r="B76" s="1" t="str">
        <f>"Wash"&amp;"residential extras"&amp;C76</f>
        <v>Washresidential extrasYDOC</v>
      </c>
      <c r="C76" s="58" t="s">
        <v>444</v>
      </c>
      <c r="D76" s="58" t="s">
        <v>454</v>
      </c>
      <c r="E76" s="11">
        <v>6.58</v>
      </c>
      <c r="F76" s="11">
        <v>6.58</v>
      </c>
      <c r="G76" s="11">
        <v>7.03</v>
      </c>
      <c r="H76" s="46"/>
      <c r="I76" s="14">
        <v>13.16</v>
      </c>
      <c r="J76" s="14">
        <v>72.38</v>
      </c>
      <c r="K76" s="14">
        <v>52.64</v>
      </c>
      <c r="L76" s="14">
        <v>13.16</v>
      </c>
      <c r="M76" s="14">
        <v>26.32</v>
      </c>
      <c r="N76" s="14">
        <v>19.739999999999998</v>
      </c>
      <c r="O76" s="14">
        <v>13.16</v>
      </c>
      <c r="P76" s="14">
        <v>26.32</v>
      </c>
      <c r="Q76" s="14">
        <v>6.58</v>
      </c>
      <c r="R76" s="14">
        <v>0</v>
      </c>
      <c r="S76" s="14">
        <v>0</v>
      </c>
      <c r="T76" s="14">
        <v>7.03</v>
      </c>
      <c r="U76" s="73">
        <f t="shared" si="52"/>
        <v>250.49</v>
      </c>
      <c r="W76" s="49">
        <f t="shared" si="53"/>
        <v>2</v>
      </c>
      <c r="X76" s="49">
        <f t="shared" si="54"/>
        <v>11</v>
      </c>
      <c r="Y76" s="49">
        <f t="shared" si="55"/>
        <v>8</v>
      </c>
      <c r="Z76" s="49">
        <f t="shared" si="56"/>
        <v>2</v>
      </c>
      <c r="AA76" s="49">
        <f t="shared" si="57"/>
        <v>4</v>
      </c>
      <c r="AB76" s="49">
        <f t="shared" si="58"/>
        <v>2.9999999999999996</v>
      </c>
      <c r="AC76" s="49">
        <f t="shared" si="59"/>
        <v>2</v>
      </c>
      <c r="AD76" s="49">
        <f t="shared" si="60"/>
        <v>4</v>
      </c>
      <c r="AE76" s="49">
        <f t="shared" si="61"/>
        <v>1</v>
      </c>
      <c r="AF76" s="49">
        <f t="shared" si="62"/>
        <v>0</v>
      </c>
      <c r="AG76" s="49">
        <f t="shared" si="63"/>
        <v>0</v>
      </c>
      <c r="AH76" s="49">
        <f t="shared" si="64"/>
        <v>1</v>
      </c>
      <c r="AI76" s="47">
        <f t="shared" si="66"/>
        <v>3.1666666666666665</v>
      </c>
      <c r="AJ76" s="134">
        <f t="shared" si="65"/>
        <v>38</v>
      </c>
    </row>
    <row r="77" spans="2:46" s="45" customFormat="1" x14ac:dyDescent="0.2">
      <c r="B77" s="1" t="str">
        <f>"Wash"&amp;"residential extras"&amp;C77</f>
        <v>Washresidential extrasYDRESTART</v>
      </c>
      <c r="C77" s="58" t="s">
        <v>445</v>
      </c>
      <c r="D77" s="58" t="s">
        <v>455</v>
      </c>
      <c r="E77" s="11">
        <v>28.22</v>
      </c>
      <c r="F77" s="11">
        <v>28.22</v>
      </c>
      <c r="G77" s="11">
        <v>30.13</v>
      </c>
      <c r="H77" s="46"/>
      <c r="I77" s="14">
        <v>28.22</v>
      </c>
      <c r="J77" s="14">
        <v>28.22</v>
      </c>
      <c r="K77" s="14">
        <v>28.22</v>
      </c>
      <c r="L77" s="14">
        <v>0</v>
      </c>
      <c r="M77" s="14">
        <v>0</v>
      </c>
      <c r="N77" s="14">
        <v>0</v>
      </c>
      <c r="O77" s="14">
        <v>0</v>
      </c>
      <c r="P77" s="14">
        <v>0</v>
      </c>
      <c r="Q77" s="14">
        <v>0</v>
      </c>
      <c r="R77" s="14">
        <v>0</v>
      </c>
      <c r="S77" s="14">
        <v>0</v>
      </c>
      <c r="T77" s="14">
        <v>0</v>
      </c>
      <c r="U77" s="73">
        <f t="shared" si="52"/>
        <v>84.66</v>
      </c>
      <c r="W77" s="49">
        <f t="shared" si="53"/>
        <v>1</v>
      </c>
      <c r="X77" s="49">
        <f t="shared" si="54"/>
        <v>1</v>
      </c>
      <c r="Y77" s="49">
        <f t="shared" si="55"/>
        <v>1</v>
      </c>
      <c r="Z77" s="49">
        <f t="shared" si="56"/>
        <v>0</v>
      </c>
      <c r="AA77" s="49">
        <f t="shared" si="57"/>
        <v>0</v>
      </c>
      <c r="AB77" s="49">
        <f t="shared" si="58"/>
        <v>0</v>
      </c>
      <c r="AC77" s="49">
        <f t="shared" si="59"/>
        <v>0</v>
      </c>
      <c r="AD77" s="49">
        <f t="shared" si="60"/>
        <v>0</v>
      </c>
      <c r="AE77" s="49">
        <f t="shared" si="61"/>
        <v>0</v>
      </c>
      <c r="AF77" s="49">
        <f t="shared" si="62"/>
        <v>0</v>
      </c>
      <c r="AG77" s="49">
        <f t="shared" si="63"/>
        <v>0</v>
      </c>
      <c r="AH77" s="49">
        <f t="shared" si="64"/>
        <v>0</v>
      </c>
      <c r="AI77" s="47">
        <f t="shared" si="66"/>
        <v>0.25</v>
      </c>
      <c r="AJ77" s="134">
        <f t="shared" si="65"/>
        <v>3</v>
      </c>
    </row>
    <row r="78" spans="2:46" s="45" customFormat="1" x14ac:dyDescent="0.2">
      <c r="B78" s="1" t="str">
        <f>"Wash"&amp;"residential"&amp;C78</f>
        <v>WashresidentialYDRENT</v>
      </c>
      <c r="C78" s="58" t="s">
        <v>442</v>
      </c>
      <c r="D78" s="58" t="s">
        <v>452</v>
      </c>
      <c r="E78" s="11">
        <v>4.16</v>
      </c>
      <c r="F78" s="11">
        <v>4.16</v>
      </c>
      <c r="G78" s="11">
        <v>4.4400000000000004</v>
      </c>
      <c r="H78" s="46"/>
      <c r="I78" s="14">
        <v>12.48</v>
      </c>
      <c r="J78" s="14">
        <v>12.48</v>
      </c>
      <c r="K78" s="14">
        <v>12.48</v>
      </c>
      <c r="L78" s="14">
        <v>12.48</v>
      </c>
      <c r="M78" s="14">
        <v>12.48</v>
      </c>
      <c r="N78" s="14">
        <v>12.48</v>
      </c>
      <c r="O78" s="14">
        <v>12.48</v>
      </c>
      <c r="P78" s="14">
        <v>12.48</v>
      </c>
      <c r="Q78" s="14">
        <v>12.48</v>
      </c>
      <c r="R78" s="14">
        <v>0</v>
      </c>
      <c r="S78" s="14">
        <v>0</v>
      </c>
      <c r="T78" s="14">
        <v>13.32</v>
      </c>
      <c r="U78" s="73">
        <f t="shared" si="52"/>
        <v>125.64000000000001</v>
      </c>
      <c r="W78" s="49">
        <f t="shared" si="53"/>
        <v>3</v>
      </c>
      <c r="X78" s="49">
        <f t="shared" si="54"/>
        <v>3</v>
      </c>
      <c r="Y78" s="49">
        <f t="shared" si="55"/>
        <v>3</v>
      </c>
      <c r="Z78" s="49">
        <f t="shared" si="56"/>
        <v>3</v>
      </c>
      <c r="AA78" s="49">
        <f t="shared" si="57"/>
        <v>3</v>
      </c>
      <c r="AB78" s="49">
        <f t="shared" si="58"/>
        <v>3</v>
      </c>
      <c r="AC78" s="49">
        <f t="shared" si="59"/>
        <v>3</v>
      </c>
      <c r="AD78" s="49">
        <f t="shared" si="60"/>
        <v>3</v>
      </c>
      <c r="AE78" s="49">
        <f t="shared" si="61"/>
        <v>3</v>
      </c>
      <c r="AF78" s="49">
        <f t="shared" si="62"/>
        <v>0</v>
      </c>
      <c r="AG78" s="49">
        <f t="shared" si="63"/>
        <v>0</v>
      </c>
      <c r="AH78" s="49">
        <f t="shared" si="64"/>
        <v>3</v>
      </c>
      <c r="AI78" s="47">
        <f t="shared" si="66"/>
        <v>2.5</v>
      </c>
      <c r="AJ78" s="134">
        <f t="shared" si="65"/>
        <v>30</v>
      </c>
    </row>
    <row r="79" spans="2:46" s="45" customFormat="1" x14ac:dyDescent="0.2">
      <c r="C79" s="58"/>
      <c r="D79" s="58"/>
      <c r="E79" s="55"/>
      <c r="F79" s="55"/>
      <c r="G79" s="55"/>
      <c r="H79" s="46"/>
      <c r="I79" s="46"/>
      <c r="J79" s="49"/>
      <c r="K79" s="49"/>
      <c r="L79" s="48"/>
      <c r="M79" s="48"/>
      <c r="N79" s="48"/>
      <c r="O79" s="48"/>
      <c r="P79" s="48"/>
      <c r="Q79" s="48"/>
      <c r="R79" s="48"/>
      <c r="S79" s="49"/>
      <c r="T79" s="49"/>
      <c r="U79" s="73"/>
      <c r="W79" s="48"/>
      <c r="X79" s="48"/>
      <c r="Y79" s="48"/>
      <c r="Z79" s="48"/>
      <c r="AA79" s="48"/>
      <c r="AB79" s="48"/>
      <c r="AC79" s="48"/>
      <c r="AD79" s="48"/>
      <c r="AE79" s="48"/>
      <c r="AF79" s="48"/>
      <c r="AG79" s="48"/>
      <c r="AH79" s="48"/>
      <c r="AI79" s="40"/>
      <c r="AJ79" s="40"/>
    </row>
    <row r="80" spans="2:46" s="45" customFormat="1" x14ac:dyDescent="0.2">
      <c r="D80" s="52" t="s">
        <v>8</v>
      </c>
      <c r="E80" s="55"/>
      <c r="F80" s="55"/>
      <c r="G80" s="55"/>
      <c r="H80" s="77"/>
      <c r="I80" s="97">
        <f t="shared" ref="I80:U80" si="67">SUM(I71:I79)</f>
        <v>27836.03</v>
      </c>
      <c r="J80" s="97">
        <f t="shared" si="67"/>
        <v>28984.18</v>
      </c>
      <c r="K80" s="97">
        <f t="shared" si="67"/>
        <v>29205.949999999997</v>
      </c>
      <c r="L80" s="97">
        <f t="shared" si="67"/>
        <v>28401.67</v>
      </c>
      <c r="M80" s="97">
        <f t="shared" si="67"/>
        <v>28014.63</v>
      </c>
      <c r="N80" s="97">
        <f t="shared" si="67"/>
        <v>27989.09</v>
      </c>
      <c r="O80" s="97">
        <f t="shared" si="67"/>
        <v>28176.86</v>
      </c>
      <c r="P80" s="97">
        <f t="shared" si="67"/>
        <v>28005.314999999999</v>
      </c>
      <c r="Q80" s="97">
        <f t="shared" si="67"/>
        <v>27948.775000000001</v>
      </c>
      <c r="R80" s="97">
        <f t="shared" si="67"/>
        <v>236.09000000000003</v>
      </c>
      <c r="S80" s="97">
        <f t="shared" si="67"/>
        <v>770.2</v>
      </c>
      <c r="T80" s="97">
        <f t="shared" si="67"/>
        <v>30097.954999999998</v>
      </c>
      <c r="U80" s="97">
        <f t="shared" si="67"/>
        <v>285666.745</v>
      </c>
      <c r="W80" s="185">
        <f>+SUM(W71:W73)</f>
        <v>2986.003054176871</v>
      </c>
      <c r="X80" s="185">
        <f t="shared" ref="X80:AJ80" si="68">+SUM(X71:X73)</f>
        <v>3057.4828349944628</v>
      </c>
      <c r="Y80" s="185">
        <f t="shared" si="68"/>
        <v>3025.9778516057586</v>
      </c>
      <c r="Z80" s="185">
        <f t="shared" si="68"/>
        <v>3083.8935402494949</v>
      </c>
      <c r="AA80" s="185">
        <f t="shared" si="68"/>
        <v>3034.975083056479</v>
      </c>
      <c r="AB80" s="185">
        <f t="shared" si="68"/>
        <v>3087.250276854928</v>
      </c>
      <c r="AC80" s="185">
        <f t="shared" si="68"/>
        <v>3041.7464008859361</v>
      </c>
      <c r="AD80" s="185">
        <f t="shared" si="68"/>
        <v>3068.5926123597537</v>
      </c>
      <c r="AE80" s="185">
        <f t="shared" si="68"/>
        <v>3031.9043597813652</v>
      </c>
      <c r="AF80" s="185">
        <f t="shared" si="68"/>
        <v>-1.3796680497925302</v>
      </c>
      <c r="AG80" s="185">
        <f t="shared" si="68"/>
        <v>6.6796977043732584</v>
      </c>
      <c r="AH80" s="185">
        <f t="shared" si="68"/>
        <v>1536.7989899332883</v>
      </c>
      <c r="AI80" s="185">
        <f t="shared" si="68"/>
        <v>2413.32708612941</v>
      </c>
      <c r="AJ80" s="185">
        <f t="shared" si="68"/>
        <v>28959.925033552921</v>
      </c>
      <c r="AN80" s="186">
        <f>SUM(AN71:AN79)</f>
        <v>2413.32708612941</v>
      </c>
      <c r="AP80" s="186">
        <f>SUM(AP71:AP79)</f>
        <v>0</v>
      </c>
      <c r="AR80" s="186">
        <f>SUM(AR71:AR79)</f>
        <v>0</v>
      </c>
      <c r="AT80" s="186">
        <f>SUM(AT71:AT79)</f>
        <v>0</v>
      </c>
    </row>
    <row r="81" spans="2:46" s="45" customFormat="1" x14ac:dyDescent="0.2">
      <c r="E81" s="55"/>
      <c r="F81" s="55"/>
      <c r="G81" s="55"/>
      <c r="H81" s="55"/>
      <c r="I81" s="46"/>
      <c r="J81" s="49" t="str">
        <f>IF(H81="","",(#REF!/H81)+(#REF!/#REF!))</f>
        <v/>
      </c>
      <c r="K81" s="49" t="str">
        <f>IF(H81="","",J81/12)</f>
        <v/>
      </c>
      <c r="U81" s="73"/>
      <c r="W81" s="48"/>
      <c r="X81" s="48"/>
      <c r="Y81" s="48"/>
      <c r="Z81" s="48"/>
      <c r="AA81" s="48"/>
      <c r="AB81" s="48"/>
      <c r="AC81" s="48"/>
      <c r="AD81" s="48"/>
      <c r="AE81" s="48"/>
      <c r="AF81" s="48"/>
      <c r="AG81" s="48"/>
      <c r="AH81" s="48"/>
      <c r="AI81" s="40"/>
      <c r="AJ81" s="40"/>
    </row>
    <row r="82" spans="2:46" x14ac:dyDescent="0.2">
      <c r="C82" s="70" t="s">
        <v>917</v>
      </c>
      <c r="D82" s="70" t="s">
        <v>917</v>
      </c>
      <c r="AK82" s="45"/>
    </row>
    <row r="83" spans="2:46" x14ac:dyDescent="0.2">
      <c r="C83" s="70"/>
      <c r="D83" s="70"/>
      <c r="AK83" s="45"/>
    </row>
    <row r="84" spans="2:46" s="45" customFormat="1" x14ac:dyDescent="0.2">
      <c r="C84" s="42" t="s">
        <v>10</v>
      </c>
      <c r="D84" s="42" t="s">
        <v>10</v>
      </c>
      <c r="E84" s="55"/>
      <c r="F84" s="55"/>
      <c r="G84" s="55"/>
      <c r="H84" s="55"/>
      <c r="I84" s="46"/>
      <c r="J84" s="49" t="str">
        <f>IF(H84="","",(#REF!/H84)+(#REF!/#REF!))</f>
        <v/>
      </c>
      <c r="K84" s="49" t="str">
        <f>IF(H84="","",J84/12)</f>
        <v/>
      </c>
      <c r="U84" s="73"/>
      <c r="W84" s="40"/>
      <c r="X84" s="40"/>
      <c r="Y84" s="40"/>
      <c r="Z84" s="40"/>
      <c r="AA84" s="40"/>
      <c r="AB84" s="40"/>
      <c r="AC84" s="40"/>
      <c r="AD84" s="40"/>
      <c r="AE84" s="40"/>
      <c r="AF84" s="40"/>
      <c r="AG84" s="40"/>
      <c r="AH84" s="40"/>
      <c r="AI84" s="40"/>
      <c r="AJ84" s="40"/>
    </row>
    <row r="85" spans="2:46" s="253" customFormat="1" x14ac:dyDescent="0.2">
      <c r="B85" s="241" t="str">
        <f>"Wash"&amp;"commercial"&amp;C85</f>
        <v>WashcommercialWC15Y1W</v>
      </c>
      <c r="C85" s="232" t="s">
        <v>955</v>
      </c>
      <c r="D85" s="232" t="s">
        <v>213</v>
      </c>
      <c r="E85" s="238">
        <v>207.71</v>
      </c>
      <c r="F85" s="238">
        <v>207.71</v>
      </c>
      <c r="G85" s="238">
        <v>221.78</v>
      </c>
      <c r="H85" s="261"/>
      <c r="I85" s="243">
        <v>2077.1</v>
      </c>
      <c r="J85" s="243">
        <v>1921.31</v>
      </c>
      <c r="K85" s="243">
        <v>1869.39</v>
      </c>
      <c r="L85" s="243">
        <v>1869.39</v>
      </c>
      <c r="M85" s="243">
        <v>2077.1</v>
      </c>
      <c r="N85" s="243">
        <v>2077.1</v>
      </c>
      <c r="O85" s="243">
        <v>2077.1</v>
      </c>
      <c r="P85" s="243">
        <v>2077.1</v>
      </c>
      <c r="Q85" s="243">
        <v>2077.1</v>
      </c>
      <c r="R85" s="243">
        <v>2217.81</v>
      </c>
      <c r="S85" s="243">
        <v>2439.58</v>
      </c>
      <c r="T85" s="243">
        <v>2439.58</v>
      </c>
      <c r="U85" s="263">
        <f t="shared" ref="U85:U138" si="69">SUM(I85:T85)</f>
        <v>25219.660000000003</v>
      </c>
      <c r="W85" s="264">
        <f t="shared" ref="W85:W148" si="70">IFERROR(I85/$E85,0)</f>
        <v>10</v>
      </c>
      <c r="X85" s="264">
        <f t="shared" ref="X85:X148" si="71">IFERROR(J85/$E85,0)</f>
        <v>9.2499638919647573</v>
      </c>
      <c r="Y85" s="264">
        <f t="shared" ref="Y85:Y148" si="72">IFERROR(K85/$E85,0)</f>
        <v>9</v>
      </c>
      <c r="Z85" s="264">
        <f t="shared" ref="Z85:Z148" si="73">IFERROR(L85/$F85,0)</f>
        <v>9</v>
      </c>
      <c r="AA85" s="264">
        <f t="shared" ref="AA85:AA148" si="74">IFERROR(M85/$F85,0)</f>
        <v>10</v>
      </c>
      <c r="AB85" s="264">
        <f t="shared" ref="AB85:AB148" si="75">IFERROR(N85/$F85,0)</f>
        <v>10</v>
      </c>
      <c r="AC85" s="264">
        <f t="shared" ref="AC85:AC148" si="76">IFERROR(O85/$F85,0)</f>
        <v>10</v>
      </c>
      <c r="AD85" s="264">
        <f t="shared" ref="AD85:AD148" si="77">IFERROR(P85/$F85,0)</f>
        <v>10</v>
      </c>
      <c r="AE85" s="264">
        <f t="shared" ref="AE85:AE148" si="78">IFERROR(Q85/$F85,0)</f>
        <v>10</v>
      </c>
      <c r="AF85" s="264">
        <f t="shared" ref="AF85:AF148" si="79">IFERROR(R85/$G85,0)</f>
        <v>10.000045089728559</v>
      </c>
      <c r="AG85" s="264">
        <f t="shared" ref="AG85:AG148" si="80">IFERROR(S85/$G85,0)</f>
        <v>11</v>
      </c>
      <c r="AH85" s="264">
        <f t="shared" ref="AH85:AH148" si="81">IFERROR(T85/$G85,0)</f>
        <v>11</v>
      </c>
      <c r="AI85" s="265">
        <f>+IFERROR(AVERAGE(W85:AH85),0)</f>
        <v>9.9375007484744433</v>
      </c>
      <c r="AJ85" s="266">
        <f>SUM(W85:AH85)</f>
        <v>119.25000898169331</v>
      </c>
      <c r="AK85" s="266"/>
      <c r="AM85" s="241">
        <v>0</v>
      </c>
      <c r="AN85" s="240">
        <f t="shared" ref="AN85:AN112" si="82">+$AI85*AM85</f>
        <v>0</v>
      </c>
      <c r="AO85" s="241">
        <v>1</v>
      </c>
      <c r="AP85" s="240">
        <f t="shared" ref="AP85:AP112" si="83">+$AI85*AO85</f>
        <v>9.9375007484744433</v>
      </c>
      <c r="AQ85" s="241">
        <v>0</v>
      </c>
      <c r="AR85" s="240">
        <f t="shared" ref="AR85:AR112" si="84">+$AI85*AQ85</f>
        <v>0</v>
      </c>
      <c r="AS85" s="241">
        <v>0</v>
      </c>
      <c r="AT85" s="240">
        <f t="shared" ref="AT85:AT112" si="85">+$AI85*AS85</f>
        <v>0</v>
      </c>
    </row>
    <row r="86" spans="2:46" s="253" customFormat="1" x14ac:dyDescent="0.2">
      <c r="B86" s="241" t="str">
        <f t="shared" ref="B86:B138" si="86">"Wash"&amp;"commercial"&amp;C86</f>
        <v>WashcommercialWC1Y1W</v>
      </c>
      <c r="C86" s="232" t="s">
        <v>956</v>
      </c>
      <c r="D86" s="232" t="s">
        <v>210</v>
      </c>
      <c r="E86" s="238">
        <v>140.76</v>
      </c>
      <c r="F86" s="238">
        <v>140.76</v>
      </c>
      <c r="G86" s="238">
        <v>150.28</v>
      </c>
      <c r="H86" s="261"/>
      <c r="I86" s="243">
        <v>4082.04</v>
      </c>
      <c r="J86" s="243">
        <v>4187.6099999999997</v>
      </c>
      <c r="K86" s="243">
        <v>4187.6099999999997</v>
      </c>
      <c r="L86" s="243">
        <v>4082.04</v>
      </c>
      <c r="M86" s="243">
        <v>4222.8</v>
      </c>
      <c r="N86" s="243">
        <v>4222.8</v>
      </c>
      <c r="O86" s="243">
        <v>4152.42</v>
      </c>
      <c r="P86" s="243">
        <v>4222.8</v>
      </c>
      <c r="Q86" s="243">
        <v>4117.2299999999996</v>
      </c>
      <c r="R86" s="243">
        <v>4358.12</v>
      </c>
      <c r="S86" s="243">
        <v>4320.55</v>
      </c>
      <c r="T86" s="243">
        <v>4170.2700000000004</v>
      </c>
      <c r="U86" s="263">
        <f t="shared" si="69"/>
        <v>50326.290000000008</v>
      </c>
      <c r="W86" s="264">
        <f t="shared" si="70"/>
        <v>29</v>
      </c>
      <c r="X86" s="264">
        <f t="shared" si="71"/>
        <v>29.75</v>
      </c>
      <c r="Y86" s="264">
        <f t="shared" si="72"/>
        <v>29.75</v>
      </c>
      <c r="Z86" s="264">
        <f t="shared" si="73"/>
        <v>29</v>
      </c>
      <c r="AA86" s="264">
        <f t="shared" si="74"/>
        <v>30.000000000000004</v>
      </c>
      <c r="AB86" s="264">
        <f t="shared" si="75"/>
        <v>30.000000000000004</v>
      </c>
      <c r="AC86" s="264">
        <f t="shared" si="76"/>
        <v>29.500000000000004</v>
      </c>
      <c r="AD86" s="264">
        <f t="shared" si="77"/>
        <v>30.000000000000004</v>
      </c>
      <c r="AE86" s="264">
        <f t="shared" si="78"/>
        <v>29.25</v>
      </c>
      <c r="AF86" s="264">
        <f t="shared" si="79"/>
        <v>29</v>
      </c>
      <c r="AG86" s="264">
        <f t="shared" si="80"/>
        <v>28.75</v>
      </c>
      <c r="AH86" s="264">
        <f t="shared" si="81"/>
        <v>27.750000000000004</v>
      </c>
      <c r="AI86" s="265">
        <f t="shared" ref="AI86:AI138" si="87">+IFERROR(AVERAGE(W86:AH86),0)</f>
        <v>29.3125</v>
      </c>
      <c r="AJ86" s="266">
        <f t="shared" ref="AJ86:AJ138" si="88">SUM(W86:AH86)</f>
        <v>351.75</v>
      </c>
      <c r="AK86" s="266"/>
      <c r="AM86" s="241">
        <v>0</v>
      </c>
      <c r="AN86" s="240">
        <f t="shared" si="82"/>
        <v>0</v>
      </c>
      <c r="AO86" s="241">
        <v>1</v>
      </c>
      <c r="AP86" s="240">
        <f t="shared" si="83"/>
        <v>29.3125</v>
      </c>
      <c r="AQ86" s="241">
        <v>0</v>
      </c>
      <c r="AR86" s="240">
        <f t="shared" si="84"/>
        <v>0</v>
      </c>
      <c r="AS86" s="241">
        <v>0</v>
      </c>
      <c r="AT86" s="240">
        <f t="shared" si="85"/>
        <v>0</v>
      </c>
    </row>
    <row r="87" spans="2:46" s="253" customFormat="1" x14ac:dyDescent="0.2">
      <c r="B87" s="241" t="str">
        <f t="shared" si="86"/>
        <v>WashcommercialWC1Y2W</v>
      </c>
      <c r="C87" s="232" t="s">
        <v>957</v>
      </c>
      <c r="D87" s="232" t="s">
        <v>211</v>
      </c>
      <c r="E87" s="238">
        <v>281.10000000000002</v>
      </c>
      <c r="F87" s="238">
        <v>281.10000000000002</v>
      </c>
      <c r="G87" s="238">
        <v>300.12</v>
      </c>
      <c r="H87" s="261"/>
      <c r="I87" s="243">
        <v>562.20000000000005</v>
      </c>
      <c r="J87" s="243">
        <v>562.20000000000005</v>
      </c>
      <c r="K87" s="243">
        <v>562.20000000000005</v>
      </c>
      <c r="L87" s="243">
        <v>562.20000000000005</v>
      </c>
      <c r="M87" s="243">
        <v>562.20000000000005</v>
      </c>
      <c r="N87" s="243">
        <v>562.20000000000005</v>
      </c>
      <c r="O87" s="243">
        <v>562.20000000000005</v>
      </c>
      <c r="P87" s="243">
        <v>562.20000000000005</v>
      </c>
      <c r="Q87" s="243">
        <v>562.20000000000005</v>
      </c>
      <c r="R87" s="243">
        <v>600.24</v>
      </c>
      <c r="S87" s="243">
        <v>600.24</v>
      </c>
      <c r="T87" s="243">
        <v>600.24</v>
      </c>
      <c r="U87" s="263">
        <f t="shared" si="69"/>
        <v>6860.5199999999986</v>
      </c>
      <c r="W87" s="264">
        <f t="shared" si="70"/>
        <v>2</v>
      </c>
      <c r="X87" s="264">
        <f t="shared" si="71"/>
        <v>2</v>
      </c>
      <c r="Y87" s="264">
        <f t="shared" si="72"/>
        <v>2</v>
      </c>
      <c r="Z87" s="264">
        <f t="shared" si="73"/>
        <v>2</v>
      </c>
      <c r="AA87" s="264">
        <f t="shared" si="74"/>
        <v>2</v>
      </c>
      <c r="AB87" s="264">
        <f t="shared" si="75"/>
        <v>2</v>
      </c>
      <c r="AC87" s="264">
        <f t="shared" si="76"/>
        <v>2</v>
      </c>
      <c r="AD87" s="264">
        <f t="shared" si="77"/>
        <v>2</v>
      </c>
      <c r="AE87" s="264">
        <f t="shared" si="78"/>
        <v>2</v>
      </c>
      <c r="AF87" s="264">
        <f t="shared" si="79"/>
        <v>2</v>
      </c>
      <c r="AG87" s="264">
        <f t="shared" si="80"/>
        <v>2</v>
      </c>
      <c r="AH87" s="264">
        <f t="shared" si="81"/>
        <v>2</v>
      </c>
      <c r="AI87" s="265">
        <f t="shared" si="87"/>
        <v>2</v>
      </c>
      <c r="AJ87" s="266">
        <f t="shared" si="88"/>
        <v>24</v>
      </c>
      <c r="AK87" s="266"/>
      <c r="AM87" s="241">
        <v>0</v>
      </c>
      <c r="AN87" s="240">
        <f t="shared" si="82"/>
        <v>0</v>
      </c>
      <c r="AO87" s="241">
        <v>1</v>
      </c>
      <c r="AP87" s="240">
        <f t="shared" si="83"/>
        <v>2</v>
      </c>
      <c r="AQ87" s="241">
        <v>0</v>
      </c>
      <c r="AR87" s="240">
        <f t="shared" si="84"/>
        <v>0</v>
      </c>
      <c r="AS87" s="241">
        <v>0</v>
      </c>
      <c r="AT87" s="240">
        <f t="shared" si="85"/>
        <v>0</v>
      </c>
    </row>
    <row r="88" spans="2:46" s="253" customFormat="1" x14ac:dyDescent="0.2">
      <c r="B88" s="241" t="str">
        <f t="shared" si="86"/>
        <v>WashcommercialWC2Y1W</v>
      </c>
      <c r="C88" s="232" t="s">
        <v>958</v>
      </c>
      <c r="D88" s="232" t="s">
        <v>216</v>
      </c>
      <c r="E88" s="238">
        <v>277.74</v>
      </c>
      <c r="F88" s="238">
        <v>277.74</v>
      </c>
      <c r="G88" s="238">
        <v>296.55</v>
      </c>
      <c r="H88" s="261"/>
      <c r="I88" s="243">
        <v>6249.15</v>
      </c>
      <c r="J88" s="243">
        <v>6388.02</v>
      </c>
      <c r="K88" s="243">
        <v>6388.02</v>
      </c>
      <c r="L88" s="243">
        <v>6388.02</v>
      </c>
      <c r="M88" s="243">
        <v>6596.32</v>
      </c>
      <c r="N88" s="243">
        <v>6665.76</v>
      </c>
      <c r="O88" s="243">
        <v>6665.76</v>
      </c>
      <c r="P88" s="243">
        <v>6665.76</v>
      </c>
      <c r="Q88" s="243">
        <v>6665.77</v>
      </c>
      <c r="R88" s="243">
        <v>7117.2</v>
      </c>
      <c r="S88" s="243">
        <v>7117.2</v>
      </c>
      <c r="T88" s="243">
        <v>7562.03</v>
      </c>
      <c r="U88" s="263">
        <f t="shared" si="69"/>
        <v>80469.009999999995</v>
      </c>
      <c r="W88" s="264">
        <f t="shared" si="70"/>
        <v>22.499999999999996</v>
      </c>
      <c r="X88" s="264">
        <f t="shared" si="71"/>
        <v>23</v>
      </c>
      <c r="Y88" s="264">
        <f t="shared" si="72"/>
        <v>23</v>
      </c>
      <c r="Z88" s="264">
        <f t="shared" si="73"/>
        <v>23</v>
      </c>
      <c r="AA88" s="264">
        <f t="shared" si="74"/>
        <v>23.749981997551664</v>
      </c>
      <c r="AB88" s="264">
        <f t="shared" si="75"/>
        <v>24</v>
      </c>
      <c r="AC88" s="264">
        <f t="shared" si="76"/>
        <v>24</v>
      </c>
      <c r="AD88" s="264">
        <f t="shared" si="77"/>
        <v>24</v>
      </c>
      <c r="AE88" s="264">
        <f t="shared" si="78"/>
        <v>24.000036004896668</v>
      </c>
      <c r="AF88" s="264">
        <f t="shared" si="79"/>
        <v>24</v>
      </c>
      <c r="AG88" s="264">
        <f t="shared" si="80"/>
        <v>24</v>
      </c>
      <c r="AH88" s="264">
        <f t="shared" si="81"/>
        <v>25.500016860563139</v>
      </c>
      <c r="AI88" s="265">
        <f t="shared" si="87"/>
        <v>23.729169571917623</v>
      </c>
      <c r="AJ88" s="266">
        <f t="shared" si="88"/>
        <v>284.75003486301148</v>
      </c>
      <c r="AK88" s="266"/>
      <c r="AM88" s="241">
        <v>0</v>
      </c>
      <c r="AN88" s="240">
        <f t="shared" si="82"/>
        <v>0</v>
      </c>
      <c r="AO88" s="241">
        <v>1</v>
      </c>
      <c r="AP88" s="240">
        <f t="shared" si="83"/>
        <v>23.729169571917623</v>
      </c>
      <c r="AQ88" s="241">
        <v>0</v>
      </c>
      <c r="AR88" s="240">
        <f t="shared" si="84"/>
        <v>0</v>
      </c>
      <c r="AS88" s="241">
        <v>0</v>
      </c>
      <c r="AT88" s="240">
        <f t="shared" si="85"/>
        <v>0</v>
      </c>
    </row>
    <row r="89" spans="2:46" s="253" customFormat="1" x14ac:dyDescent="0.2">
      <c r="B89" s="241" t="str">
        <f t="shared" si="86"/>
        <v>WashcommercialWC2Y2W</v>
      </c>
      <c r="C89" s="232" t="s">
        <v>959</v>
      </c>
      <c r="D89" s="232" t="s">
        <v>217</v>
      </c>
      <c r="E89" s="238">
        <v>554.64</v>
      </c>
      <c r="F89" s="238">
        <v>554.64</v>
      </c>
      <c r="G89" s="238">
        <v>592.19000000000005</v>
      </c>
      <c r="H89" s="261"/>
      <c r="I89" s="243">
        <v>554.64</v>
      </c>
      <c r="J89" s="243">
        <v>554.64</v>
      </c>
      <c r="K89" s="243">
        <v>554.64</v>
      </c>
      <c r="L89" s="243">
        <v>554.64</v>
      </c>
      <c r="M89" s="243">
        <v>554.64</v>
      </c>
      <c r="N89" s="243">
        <v>554.64</v>
      </c>
      <c r="O89" s="243">
        <v>554.64</v>
      </c>
      <c r="P89" s="243">
        <v>554.64</v>
      </c>
      <c r="Q89" s="243">
        <v>554.64</v>
      </c>
      <c r="R89" s="243">
        <v>592.19000000000005</v>
      </c>
      <c r="S89" s="243">
        <v>592.19000000000005</v>
      </c>
      <c r="T89" s="243">
        <v>592.19000000000005</v>
      </c>
      <c r="U89" s="263">
        <f t="shared" si="69"/>
        <v>6768.3300000000017</v>
      </c>
      <c r="W89" s="264">
        <f t="shared" si="70"/>
        <v>1</v>
      </c>
      <c r="X89" s="264">
        <f t="shared" si="71"/>
        <v>1</v>
      </c>
      <c r="Y89" s="264">
        <f t="shared" si="72"/>
        <v>1</v>
      </c>
      <c r="Z89" s="264">
        <f t="shared" si="73"/>
        <v>1</v>
      </c>
      <c r="AA89" s="264">
        <f t="shared" si="74"/>
        <v>1</v>
      </c>
      <c r="AB89" s="264">
        <f t="shared" si="75"/>
        <v>1</v>
      </c>
      <c r="AC89" s="264">
        <f t="shared" si="76"/>
        <v>1</v>
      </c>
      <c r="AD89" s="264">
        <f t="shared" si="77"/>
        <v>1</v>
      </c>
      <c r="AE89" s="264">
        <f t="shared" si="78"/>
        <v>1</v>
      </c>
      <c r="AF89" s="264">
        <f t="shared" si="79"/>
        <v>1</v>
      </c>
      <c r="AG89" s="264">
        <f t="shared" si="80"/>
        <v>1</v>
      </c>
      <c r="AH89" s="264">
        <f t="shared" si="81"/>
        <v>1</v>
      </c>
      <c r="AI89" s="265">
        <f t="shared" si="87"/>
        <v>1</v>
      </c>
      <c r="AJ89" s="266">
        <f t="shared" si="88"/>
        <v>12</v>
      </c>
      <c r="AK89" s="266"/>
      <c r="AM89" s="241">
        <v>0</v>
      </c>
      <c r="AN89" s="240">
        <f t="shared" si="82"/>
        <v>0</v>
      </c>
      <c r="AO89" s="241">
        <v>1</v>
      </c>
      <c r="AP89" s="240">
        <f t="shared" si="83"/>
        <v>1</v>
      </c>
      <c r="AQ89" s="241">
        <v>0</v>
      </c>
      <c r="AR89" s="240">
        <f t="shared" si="84"/>
        <v>0</v>
      </c>
      <c r="AS89" s="241">
        <v>0</v>
      </c>
      <c r="AT89" s="240">
        <f t="shared" si="85"/>
        <v>0</v>
      </c>
    </row>
    <row r="90" spans="2:46" s="253" customFormat="1" x14ac:dyDescent="0.2">
      <c r="B90" s="241" t="str">
        <f t="shared" si="86"/>
        <v>WashcommercialWC3Y1W</v>
      </c>
      <c r="C90" s="232" t="s">
        <v>960</v>
      </c>
      <c r="D90" s="232" t="s">
        <v>222</v>
      </c>
      <c r="E90" s="238">
        <v>351.58</v>
      </c>
      <c r="F90" s="238">
        <v>351.58</v>
      </c>
      <c r="G90" s="238">
        <v>375.38</v>
      </c>
      <c r="H90" s="261"/>
      <c r="I90" s="243">
        <v>7031.6</v>
      </c>
      <c r="J90" s="243">
        <v>7031.6</v>
      </c>
      <c r="K90" s="243">
        <v>7031.6</v>
      </c>
      <c r="L90" s="243">
        <v>7031.6</v>
      </c>
      <c r="M90" s="243">
        <v>7031.6</v>
      </c>
      <c r="N90" s="243">
        <v>7734.76</v>
      </c>
      <c r="O90" s="243">
        <v>7734.76</v>
      </c>
      <c r="P90" s="243">
        <v>7383.18</v>
      </c>
      <c r="Q90" s="243">
        <v>7734.76</v>
      </c>
      <c r="R90" s="243">
        <v>8258.36</v>
      </c>
      <c r="S90" s="243">
        <v>8164.52</v>
      </c>
      <c r="T90" s="243">
        <v>7882.98</v>
      </c>
      <c r="U90" s="263">
        <f t="shared" si="69"/>
        <v>90051.32</v>
      </c>
      <c r="W90" s="264">
        <f t="shared" si="70"/>
        <v>20.000000000000004</v>
      </c>
      <c r="X90" s="264">
        <f t="shared" si="71"/>
        <v>20.000000000000004</v>
      </c>
      <c r="Y90" s="264">
        <f t="shared" si="72"/>
        <v>20.000000000000004</v>
      </c>
      <c r="Z90" s="264">
        <f t="shared" si="73"/>
        <v>20.000000000000004</v>
      </c>
      <c r="AA90" s="264">
        <f t="shared" si="74"/>
        <v>20.000000000000004</v>
      </c>
      <c r="AB90" s="264">
        <f t="shared" si="75"/>
        <v>22</v>
      </c>
      <c r="AC90" s="264">
        <f t="shared" si="76"/>
        <v>22</v>
      </c>
      <c r="AD90" s="264">
        <f t="shared" si="77"/>
        <v>21.000000000000004</v>
      </c>
      <c r="AE90" s="264">
        <f t="shared" si="78"/>
        <v>22</v>
      </c>
      <c r="AF90" s="264">
        <f t="shared" si="79"/>
        <v>22.000000000000004</v>
      </c>
      <c r="AG90" s="264">
        <f t="shared" si="80"/>
        <v>21.750013319835901</v>
      </c>
      <c r="AH90" s="264">
        <f t="shared" si="81"/>
        <v>21</v>
      </c>
      <c r="AI90" s="265">
        <f t="shared" si="87"/>
        <v>20.979167776652989</v>
      </c>
      <c r="AJ90" s="266">
        <f t="shared" si="88"/>
        <v>251.75001331983589</v>
      </c>
      <c r="AM90" s="241">
        <v>0</v>
      </c>
      <c r="AN90" s="240">
        <f t="shared" si="82"/>
        <v>0</v>
      </c>
      <c r="AO90" s="241">
        <v>1</v>
      </c>
      <c r="AP90" s="240">
        <f t="shared" si="83"/>
        <v>20.979167776652989</v>
      </c>
      <c r="AQ90" s="241">
        <v>0</v>
      </c>
      <c r="AR90" s="240">
        <f t="shared" si="84"/>
        <v>0</v>
      </c>
      <c r="AS90" s="241">
        <v>0</v>
      </c>
      <c r="AT90" s="240">
        <f t="shared" si="85"/>
        <v>0</v>
      </c>
    </row>
    <row r="91" spans="2:46" s="253" customFormat="1" x14ac:dyDescent="0.2">
      <c r="B91" s="241" t="str">
        <f t="shared" si="86"/>
        <v>WashcommercialWC3Y2W</v>
      </c>
      <c r="C91" s="232" t="s">
        <v>961</v>
      </c>
      <c r="D91" s="232" t="s">
        <v>223</v>
      </c>
      <c r="E91" s="238">
        <v>701.95</v>
      </c>
      <c r="F91" s="238">
        <v>701.95</v>
      </c>
      <c r="G91" s="238">
        <v>749.47</v>
      </c>
      <c r="H91" s="261"/>
      <c r="I91" s="243">
        <v>2105.85</v>
      </c>
      <c r="J91" s="243">
        <v>2105.85</v>
      </c>
      <c r="K91" s="243">
        <v>2105.85</v>
      </c>
      <c r="L91" s="243">
        <v>2105.85</v>
      </c>
      <c r="M91" s="243">
        <v>2105.85</v>
      </c>
      <c r="N91" s="243">
        <v>2105.85</v>
      </c>
      <c r="O91" s="243">
        <v>2105.85</v>
      </c>
      <c r="P91" s="243">
        <v>2105.85</v>
      </c>
      <c r="Q91" s="243">
        <v>2105.85</v>
      </c>
      <c r="R91" s="243">
        <v>2248.41</v>
      </c>
      <c r="S91" s="243">
        <v>2248.41</v>
      </c>
      <c r="T91" s="243">
        <v>2248.41</v>
      </c>
      <c r="U91" s="263">
        <f t="shared" si="69"/>
        <v>25697.879999999997</v>
      </c>
      <c r="W91" s="264">
        <f t="shared" si="70"/>
        <v>2.9999999999999996</v>
      </c>
      <c r="X91" s="264">
        <f t="shared" si="71"/>
        <v>2.9999999999999996</v>
      </c>
      <c r="Y91" s="264">
        <f t="shared" si="72"/>
        <v>2.9999999999999996</v>
      </c>
      <c r="Z91" s="264">
        <f t="shared" si="73"/>
        <v>2.9999999999999996</v>
      </c>
      <c r="AA91" s="264">
        <f t="shared" si="74"/>
        <v>2.9999999999999996</v>
      </c>
      <c r="AB91" s="264">
        <f t="shared" si="75"/>
        <v>2.9999999999999996</v>
      </c>
      <c r="AC91" s="264">
        <f t="shared" si="76"/>
        <v>2.9999999999999996</v>
      </c>
      <c r="AD91" s="264">
        <f t="shared" si="77"/>
        <v>2.9999999999999996</v>
      </c>
      <c r="AE91" s="264">
        <f t="shared" si="78"/>
        <v>2.9999999999999996</v>
      </c>
      <c r="AF91" s="264">
        <f t="shared" si="79"/>
        <v>2.9999999999999996</v>
      </c>
      <c r="AG91" s="264">
        <f t="shared" si="80"/>
        <v>2.9999999999999996</v>
      </c>
      <c r="AH91" s="264">
        <f t="shared" si="81"/>
        <v>2.9999999999999996</v>
      </c>
      <c r="AI91" s="265">
        <f t="shared" si="87"/>
        <v>2.9999999999999996</v>
      </c>
      <c r="AJ91" s="266">
        <f t="shared" si="88"/>
        <v>35.999999999999993</v>
      </c>
      <c r="AM91" s="241">
        <v>0</v>
      </c>
      <c r="AN91" s="240">
        <f t="shared" si="82"/>
        <v>0</v>
      </c>
      <c r="AO91" s="241">
        <v>1</v>
      </c>
      <c r="AP91" s="240">
        <f t="shared" si="83"/>
        <v>2.9999999999999996</v>
      </c>
      <c r="AQ91" s="241">
        <v>0</v>
      </c>
      <c r="AR91" s="240">
        <f t="shared" si="84"/>
        <v>0</v>
      </c>
      <c r="AS91" s="241">
        <v>0</v>
      </c>
      <c r="AT91" s="240">
        <f t="shared" si="85"/>
        <v>0</v>
      </c>
    </row>
    <row r="92" spans="2:46" s="253" customFormat="1" x14ac:dyDescent="0.2">
      <c r="B92" s="241" t="str">
        <f t="shared" si="86"/>
        <v>WashcommercialWC3Y3W</v>
      </c>
      <c r="C92" s="232" t="s">
        <v>962</v>
      </c>
      <c r="D92" s="232" t="s">
        <v>224</v>
      </c>
      <c r="E92" s="238">
        <v>1052.3900000000001</v>
      </c>
      <c r="F92" s="238">
        <v>1052.3900000000001</v>
      </c>
      <c r="G92" s="238">
        <v>1123.6300000000001</v>
      </c>
      <c r="H92" s="261"/>
      <c r="I92" s="243">
        <v>4209.5600000000004</v>
      </c>
      <c r="J92" s="243">
        <v>4209.5600000000004</v>
      </c>
      <c r="K92" s="243">
        <v>4209.5600000000004</v>
      </c>
      <c r="L92" s="243">
        <v>4209.5600000000004</v>
      </c>
      <c r="M92" s="243">
        <v>4209.5600000000004</v>
      </c>
      <c r="N92" s="243">
        <v>4209.5600000000004</v>
      </c>
      <c r="O92" s="243">
        <v>4209.5600000000004</v>
      </c>
      <c r="P92" s="243">
        <v>4209.5600000000004</v>
      </c>
      <c r="Q92" s="243">
        <v>4209.5600000000004</v>
      </c>
      <c r="R92" s="243">
        <v>4494.5200000000004</v>
      </c>
      <c r="S92" s="243">
        <v>4494.5200000000004</v>
      </c>
      <c r="T92" s="243">
        <v>4494.5200000000004</v>
      </c>
      <c r="U92" s="263">
        <f t="shared" si="69"/>
        <v>51369.600000000006</v>
      </c>
      <c r="W92" s="264">
        <f t="shared" si="70"/>
        <v>4</v>
      </c>
      <c r="X92" s="264">
        <f t="shared" si="71"/>
        <v>4</v>
      </c>
      <c r="Y92" s="264">
        <f t="shared" si="72"/>
        <v>4</v>
      </c>
      <c r="Z92" s="264">
        <f t="shared" si="73"/>
        <v>4</v>
      </c>
      <c r="AA92" s="264">
        <f t="shared" si="74"/>
        <v>4</v>
      </c>
      <c r="AB92" s="264">
        <f t="shared" si="75"/>
        <v>4</v>
      </c>
      <c r="AC92" s="264">
        <f t="shared" si="76"/>
        <v>4</v>
      </c>
      <c r="AD92" s="264">
        <f t="shared" si="77"/>
        <v>4</v>
      </c>
      <c r="AE92" s="264">
        <f t="shared" si="78"/>
        <v>4</v>
      </c>
      <c r="AF92" s="264">
        <f t="shared" si="79"/>
        <v>4</v>
      </c>
      <c r="AG92" s="264">
        <f t="shared" si="80"/>
        <v>4</v>
      </c>
      <c r="AH92" s="264">
        <f t="shared" si="81"/>
        <v>4</v>
      </c>
      <c r="AI92" s="265">
        <f t="shared" si="87"/>
        <v>4</v>
      </c>
      <c r="AJ92" s="266">
        <f t="shared" si="88"/>
        <v>48</v>
      </c>
      <c r="AM92" s="241">
        <v>0</v>
      </c>
      <c r="AN92" s="240">
        <f t="shared" si="82"/>
        <v>0</v>
      </c>
      <c r="AO92" s="241">
        <v>1</v>
      </c>
      <c r="AP92" s="240">
        <f t="shared" si="83"/>
        <v>4</v>
      </c>
      <c r="AQ92" s="241">
        <v>0</v>
      </c>
      <c r="AR92" s="240">
        <f t="shared" si="84"/>
        <v>0</v>
      </c>
      <c r="AS92" s="241">
        <v>0</v>
      </c>
      <c r="AT92" s="240">
        <f t="shared" si="85"/>
        <v>0</v>
      </c>
    </row>
    <row r="93" spans="2:46" s="253" customFormat="1" x14ac:dyDescent="0.2">
      <c r="B93" s="241" t="str">
        <f t="shared" si="86"/>
        <v>WashcommercialWC4Y1W</v>
      </c>
      <c r="C93" s="232" t="s">
        <v>963</v>
      </c>
      <c r="D93" s="232" t="s">
        <v>229</v>
      </c>
      <c r="E93" s="238">
        <v>446.1</v>
      </c>
      <c r="F93" s="238">
        <v>446.1</v>
      </c>
      <c r="G93" s="238">
        <v>476.3</v>
      </c>
      <c r="H93" s="261"/>
      <c r="I93" s="243">
        <v>11598.6</v>
      </c>
      <c r="J93" s="243">
        <v>11598.6</v>
      </c>
      <c r="K93" s="243">
        <v>11598.6</v>
      </c>
      <c r="L93" s="243">
        <v>11598.6</v>
      </c>
      <c r="M93" s="243">
        <v>11598.6</v>
      </c>
      <c r="N93" s="243">
        <v>11598.6</v>
      </c>
      <c r="O93" s="243">
        <v>11598.6</v>
      </c>
      <c r="P93" s="243">
        <v>11598.6</v>
      </c>
      <c r="Q93" s="243">
        <v>10706.41</v>
      </c>
      <c r="R93" s="243">
        <v>10954.9</v>
      </c>
      <c r="S93" s="243">
        <v>10597.68</v>
      </c>
      <c r="T93" s="243">
        <v>10954.9</v>
      </c>
      <c r="U93" s="263">
        <f t="shared" si="69"/>
        <v>136002.69</v>
      </c>
      <c r="W93" s="264">
        <f t="shared" si="70"/>
        <v>26</v>
      </c>
      <c r="X93" s="264">
        <f t="shared" si="71"/>
        <v>26</v>
      </c>
      <c r="Y93" s="264">
        <f t="shared" si="72"/>
        <v>26</v>
      </c>
      <c r="Z93" s="264">
        <f t="shared" si="73"/>
        <v>26</v>
      </c>
      <c r="AA93" s="264">
        <f t="shared" si="74"/>
        <v>26</v>
      </c>
      <c r="AB93" s="264">
        <f t="shared" si="75"/>
        <v>26</v>
      </c>
      <c r="AC93" s="264">
        <f t="shared" si="76"/>
        <v>26</v>
      </c>
      <c r="AD93" s="264">
        <f t="shared" si="77"/>
        <v>26</v>
      </c>
      <c r="AE93" s="264">
        <f t="shared" si="78"/>
        <v>24.000022416498542</v>
      </c>
      <c r="AF93" s="264">
        <f t="shared" si="79"/>
        <v>23</v>
      </c>
      <c r="AG93" s="264">
        <f t="shared" si="80"/>
        <v>22.250010497585556</v>
      </c>
      <c r="AH93" s="264">
        <f t="shared" si="81"/>
        <v>23</v>
      </c>
      <c r="AI93" s="265">
        <f t="shared" si="87"/>
        <v>25.020836076173676</v>
      </c>
      <c r="AJ93" s="266">
        <f t="shared" si="88"/>
        <v>300.2500329140841</v>
      </c>
      <c r="AM93" s="241">
        <v>0</v>
      </c>
      <c r="AN93" s="240">
        <f t="shared" si="82"/>
        <v>0</v>
      </c>
      <c r="AO93" s="241">
        <v>1</v>
      </c>
      <c r="AP93" s="240">
        <f t="shared" si="83"/>
        <v>25.020836076173676</v>
      </c>
      <c r="AQ93" s="241">
        <v>0</v>
      </c>
      <c r="AR93" s="240">
        <f t="shared" si="84"/>
        <v>0</v>
      </c>
      <c r="AS93" s="241">
        <v>0</v>
      </c>
      <c r="AT93" s="240">
        <f t="shared" si="85"/>
        <v>0</v>
      </c>
    </row>
    <row r="94" spans="2:46" s="253" customFormat="1" x14ac:dyDescent="0.2">
      <c r="B94" s="241" t="str">
        <f t="shared" si="86"/>
        <v>WashcommercialWC4Y2W</v>
      </c>
      <c r="C94" s="232" t="s">
        <v>964</v>
      </c>
      <c r="D94" s="232" t="s">
        <v>230</v>
      </c>
      <c r="E94" s="238">
        <v>890.65</v>
      </c>
      <c r="F94" s="238">
        <v>890.65</v>
      </c>
      <c r="G94" s="238">
        <v>950.95</v>
      </c>
      <c r="H94" s="261"/>
      <c r="I94" s="243">
        <v>3562.6</v>
      </c>
      <c r="J94" s="243">
        <v>3562.6</v>
      </c>
      <c r="K94" s="243">
        <v>3562.6</v>
      </c>
      <c r="L94" s="243">
        <v>3562.6</v>
      </c>
      <c r="M94" s="243">
        <v>3562.6</v>
      </c>
      <c r="N94" s="243">
        <v>3562.6</v>
      </c>
      <c r="O94" s="243">
        <v>3562.6</v>
      </c>
      <c r="P94" s="243">
        <v>3562.6</v>
      </c>
      <c r="Q94" s="243">
        <v>3562.6</v>
      </c>
      <c r="R94" s="243">
        <v>3803.8</v>
      </c>
      <c r="S94" s="243">
        <v>3803.8</v>
      </c>
      <c r="T94" s="243">
        <v>3803.8</v>
      </c>
      <c r="U94" s="263">
        <f t="shared" si="69"/>
        <v>43474.8</v>
      </c>
      <c r="W94" s="264">
        <f t="shared" si="70"/>
        <v>4</v>
      </c>
      <c r="X94" s="264">
        <f t="shared" si="71"/>
        <v>4</v>
      </c>
      <c r="Y94" s="264">
        <f t="shared" si="72"/>
        <v>4</v>
      </c>
      <c r="Z94" s="264">
        <f t="shared" si="73"/>
        <v>4</v>
      </c>
      <c r="AA94" s="264">
        <f t="shared" si="74"/>
        <v>4</v>
      </c>
      <c r="AB94" s="264">
        <f t="shared" si="75"/>
        <v>4</v>
      </c>
      <c r="AC94" s="264">
        <f t="shared" si="76"/>
        <v>4</v>
      </c>
      <c r="AD94" s="264">
        <f t="shared" si="77"/>
        <v>4</v>
      </c>
      <c r="AE94" s="264">
        <f t="shared" si="78"/>
        <v>4</v>
      </c>
      <c r="AF94" s="264">
        <f t="shared" si="79"/>
        <v>4</v>
      </c>
      <c r="AG94" s="264">
        <f t="shared" si="80"/>
        <v>4</v>
      </c>
      <c r="AH94" s="264">
        <f t="shared" si="81"/>
        <v>4</v>
      </c>
      <c r="AI94" s="265">
        <f t="shared" si="87"/>
        <v>4</v>
      </c>
      <c r="AJ94" s="266">
        <f t="shared" si="88"/>
        <v>48</v>
      </c>
      <c r="AM94" s="241">
        <v>0</v>
      </c>
      <c r="AN94" s="240">
        <f t="shared" si="82"/>
        <v>0</v>
      </c>
      <c r="AO94" s="241">
        <v>1</v>
      </c>
      <c r="AP94" s="240">
        <f t="shared" si="83"/>
        <v>4</v>
      </c>
      <c r="AQ94" s="241">
        <v>0</v>
      </c>
      <c r="AR94" s="240">
        <f t="shared" si="84"/>
        <v>0</v>
      </c>
      <c r="AS94" s="241">
        <v>0</v>
      </c>
      <c r="AT94" s="240">
        <f t="shared" si="85"/>
        <v>0</v>
      </c>
    </row>
    <row r="95" spans="2:46" s="253" customFormat="1" x14ac:dyDescent="0.2">
      <c r="B95" s="241" t="str">
        <f t="shared" si="86"/>
        <v>WashcommercialWC4Y3W</v>
      </c>
      <c r="C95" s="232" t="s">
        <v>965</v>
      </c>
      <c r="D95" s="232" t="s">
        <v>231</v>
      </c>
      <c r="E95" s="238">
        <v>1335.17</v>
      </c>
      <c r="F95" s="238">
        <v>1335.17</v>
      </c>
      <c r="G95" s="238">
        <v>1425.56</v>
      </c>
      <c r="H95" s="261"/>
      <c r="I95" s="243">
        <v>8011.02</v>
      </c>
      <c r="J95" s="243">
        <v>8011.02</v>
      </c>
      <c r="K95" s="243">
        <v>8011.02</v>
      </c>
      <c r="L95" s="243">
        <v>8011.02</v>
      </c>
      <c r="M95" s="243">
        <v>8011.02</v>
      </c>
      <c r="N95" s="243">
        <v>8011.02</v>
      </c>
      <c r="O95" s="243">
        <v>8011.02</v>
      </c>
      <c r="P95" s="243">
        <v>8011.02</v>
      </c>
      <c r="Q95" s="243">
        <v>8011.02</v>
      </c>
      <c r="R95" s="243">
        <v>8553.36</v>
      </c>
      <c r="S95" s="243">
        <v>8553.36</v>
      </c>
      <c r="T95" s="243">
        <v>8553.36</v>
      </c>
      <c r="U95" s="263">
        <f t="shared" si="69"/>
        <v>97759.260000000024</v>
      </c>
      <c r="W95" s="264">
        <f t="shared" si="70"/>
        <v>6</v>
      </c>
      <c r="X95" s="264">
        <f t="shared" si="71"/>
        <v>6</v>
      </c>
      <c r="Y95" s="264">
        <f t="shared" si="72"/>
        <v>6</v>
      </c>
      <c r="Z95" s="264">
        <f t="shared" si="73"/>
        <v>6</v>
      </c>
      <c r="AA95" s="264">
        <f t="shared" si="74"/>
        <v>6</v>
      </c>
      <c r="AB95" s="264">
        <f t="shared" si="75"/>
        <v>6</v>
      </c>
      <c r="AC95" s="264">
        <f t="shared" si="76"/>
        <v>6</v>
      </c>
      <c r="AD95" s="264">
        <f t="shared" si="77"/>
        <v>6</v>
      </c>
      <c r="AE95" s="264">
        <f t="shared" si="78"/>
        <v>6</v>
      </c>
      <c r="AF95" s="264">
        <f t="shared" si="79"/>
        <v>6.0000000000000009</v>
      </c>
      <c r="AG95" s="264">
        <f t="shared" si="80"/>
        <v>6.0000000000000009</v>
      </c>
      <c r="AH95" s="264">
        <f t="shared" si="81"/>
        <v>6.0000000000000009</v>
      </c>
      <c r="AI95" s="265">
        <f t="shared" si="87"/>
        <v>6</v>
      </c>
      <c r="AJ95" s="266">
        <f t="shared" si="88"/>
        <v>72</v>
      </c>
      <c r="AM95" s="241">
        <v>0</v>
      </c>
      <c r="AN95" s="240">
        <f t="shared" si="82"/>
        <v>0</v>
      </c>
      <c r="AO95" s="241">
        <v>1</v>
      </c>
      <c r="AP95" s="240">
        <f t="shared" si="83"/>
        <v>6</v>
      </c>
      <c r="AQ95" s="241">
        <v>0</v>
      </c>
      <c r="AR95" s="240">
        <f t="shared" si="84"/>
        <v>0</v>
      </c>
      <c r="AS95" s="241">
        <v>0</v>
      </c>
      <c r="AT95" s="240">
        <f t="shared" si="85"/>
        <v>0</v>
      </c>
    </row>
    <row r="96" spans="2:46" s="253" customFormat="1" x14ac:dyDescent="0.2">
      <c r="B96" s="241" t="str">
        <f t="shared" si="86"/>
        <v>WashcommercialWC6Y1W</v>
      </c>
      <c r="C96" s="232" t="s">
        <v>966</v>
      </c>
      <c r="D96" s="232" t="s">
        <v>238</v>
      </c>
      <c r="E96" s="238">
        <v>594.37</v>
      </c>
      <c r="F96" s="238">
        <v>594.37</v>
      </c>
      <c r="G96" s="238">
        <v>634.61</v>
      </c>
      <c r="H96" s="261"/>
      <c r="I96" s="243">
        <v>4903.55</v>
      </c>
      <c r="J96" s="243">
        <v>5349.33</v>
      </c>
      <c r="K96" s="243">
        <v>5349.33</v>
      </c>
      <c r="L96" s="243">
        <v>5349.33</v>
      </c>
      <c r="M96" s="243">
        <v>5349.33</v>
      </c>
      <c r="N96" s="243">
        <v>5349.33</v>
      </c>
      <c r="O96" s="243">
        <v>5349.33</v>
      </c>
      <c r="P96" s="243">
        <v>5349.33</v>
      </c>
      <c r="Q96" s="243">
        <v>5349.33</v>
      </c>
      <c r="R96" s="243">
        <v>5711.49</v>
      </c>
      <c r="S96" s="243">
        <v>5711.49</v>
      </c>
      <c r="T96" s="243">
        <v>5711.49</v>
      </c>
      <c r="U96" s="263">
        <f t="shared" si="69"/>
        <v>64832.66</v>
      </c>
      <c r="W96" s="264">
        <f t="shared" si="70"/>
        <v>8.2499957938657733</v>
      </c>
      <c r="X96" s="264">
        <f t="shared" si="71"/>
        <v>9</v>
      </c>
      <c r="Y96" s="264">
        <f t="shared" si="72"/>
        <v>9</v>
      </c>
      <c r="Z96" s="264">
        <f t="shared" si="73"/>
        <v>9</v>
      </c>
      <c r="AA96" s="264">
        <f t="shared" si="74"/>
        <v>9</v>
      </c>
      <c r="AB96" s="264">
        <f t="shared" si="75"/>
        <v>9</v>
      </c>
      <c r="AC96" s="264">
        <f t="shared" si="76"/>
        <v>9</v>
      </c>
      <c r="AD96" s="264">
        <f t="shared" si="77"/>
        <v>9</v>
      </c>
      <c r="AE96" s="264">
        <f t="shared" si="78"/>
        <v>9</v>
      </c>
      <c r="AF96" s="264">
        <f t="shared" si="79"/>
        <v>9</v>
      </c>
      <c r="AG96" s="264">
        <f t="shared" si="80"/>
        <v>9</v>
      </c>
      <c r="AH96" s="264">
        <f t="shared" si="81"/>
        <v>9</v>
      </c>
      <c r="AI96" s="265">
        <f t="shared" si="87"/>
        <v>8.9374996494888137</v>
      </c>
      <c r="AJ96" s="266">
        <f t="shared" si="88"/>
        <v>107.24999579386576</v>
      </c>
      <c r="AM96" s="241">
        <v>0</v>
      </c>
      <c r="AN96" s="240">
        <f t="shared" si="82"/>
        <v>0</v>
      </c>
      <c r="AO96" s="241">
        <v>1</v>
      </c>
      <c r="AP96" s="240">
        <f t="shared" si="83"/>
        <v>8.9374996494888137</v>
      </c>
      <c r="AQ96" s="241">
        <v>0</v>
      </c>
      <c r="AR96" s="240">
        <f t="shared" si="84"/>
        <v>0</v>
      </c>
      <c r="AS96" s="241">
        <v>0</v>
      </c>
      <c r="AT96" s="240">
        <f t="shared" si="85"/>
        <v>0</v>
      </c>
    </row>
    <row r="97" spans="2:46" s="253" customFormat="1" x14ac:dyDescent="0.2">
      <c r="B97" s="241" t="str">
        <f t="shared" si="86"/>
        <v>WashcommercialWC6Y2W</v>
      </c>
      <c r="C97" s="232" t="s">
        <v>967</v>
      </c>
      <c r="D97" s="232" t="s">
        <v>239</v>
      </c>
      <c r="E97" s="238">
        <v>1186.46</v>
      </c>
      <c r="F97" s="238">
        <v>1186.46</v>
      </c>
      <c r="G97" s="238">
        <v>1266.78</v>
      </c>
      <c r="H97" s="261"/>
      <c r="I97" s="243">
        <v>1186.46</v>
      </c>
      <c r="J97" s="243">
        <v>1186.46</v>
      </c>
      <c r="K97" s="243">
        <v>1186.46</v>
      </c>
      <c r="L97" s="243">
        <v>1186.46</v>
      </c>
      <c r="M97" s="243">
        <v>1186.46</v>
      </c>
      <c r="N97" s="243">
        <v>1186.46</v>
      </c>
      <c r="O97" s="243">
        <v>1186.46</v>
      </c>
      <c r="P97" s="243">
        <v>1186.46</v>
      </c>
      <c r="Q97" s="243">
        <v>1186.46</v>
      </c>
      <c r="R97" s="243">
        <v>1266.78</v>
      </c>
      <c r="S97" s="243">
        <v>1266.78</v>
      </c>
      <c r="T97" s="243">
        <v>1266.78</v>
      </c>
      <c r="U97" s="263">
        <f t="shared" si="69"/>
        <v>14478.480000000001</v>
      </c>
      <c r="W97" s="264">
        <f t="shared" si="70"/>
        <v>1</v>
      </c>
      <c r="X97" s="264">
        <f t="shared" si="71"/>
        <v>1</v>
      </c>
      <c r="Y97" s="264">
        <f t="shared" si="72"/>
        <v>1</v>
      </c>
      <c r="Z97" s="264">
        <f t="shared" si="73"/>
        <v>1</v>
      </c>
      <c r="AA97" s="264">
        <f t="shared" si="74"/>
        <v>1</v>
      </c>
      <c r="AB97" s="264">
        <f t="shared" si="75"/>
        <v>1</v>
      </c>
      <c r="AC97" s="264">
        <f t="shared" si="76"/>
        <v>1</v>
      </c>
      <c r="AD97" s="264">
        <f t="shared" si="77"/>
        <v>1</v>
      </c>
      <c r="AE97" s="264">
        <f t="shared" si="78"/>
        <v>1</v>
      </c>
      <c r="AF97" s="264">
        <f t="shared" si="79"/>
        <v>1</v>
      </c>
      <c r="AG97" s="264">
        <f t="shared" si="80"/>
        <v>1</v>
      </c>
      <c r="AH97" s="264">
        <f t="shared" si="81"/>
        <v>1</v>
      </c>
      <c r="AI97" s="265">
        <f t="shared" si="87"/>
        <v>1</v>
      </c>
      <c r="AJ97" s="266">
        <f t="shared" si="88"/>
        <v>12</v>
      </c>
      <c r="AM97" s="241">
        <v>0</v>
      </c>
      <c r="AN97" s="240">
        <f t="shared" si="82"/>
        <v>0</v>
      </c>
      <c r="AO97" s="241">
        <v>1</v>
      </c>
      <c r="AP97" s="240">
        <f t="shared" si="83"/>
        <v>1</v>
      </c>
      <c r="AQ97" s="241">
        <v>0</v>
      </c>
      <c r="AR97" s="240">
        <f t="shared" si="84"/>
        <v>0</v>
      </c>
      <c r="AS97" s="241">
        <v>0</v>
      </c>
      <c r="AT97" s="240">
        <f t="shared" si="85"/>
        <v>0</v>
      </c>
    </row>
    <row r="98" spans="2:46" s="253" customFormat="1" x14ac:dyDescent="0.2">
      <c r="B98" s="241" t="str">
        <f t="shared" si="86"/>
        <v>WashcommercialWC6Y3W</v>
      </c>
      <c r="C98" s="232" t="s">
        <v>968</v>
      </c>
      <c r="D98" s="232" t="s">
        <v>240</v>
      </c>
      <c r="E98" s="238">
        <v>1778.49</v>
      </c>
      <c r="F98" s="238">
        <v>1778.49</v>
      </c>
      <c r="G98" s="238">
        <v>1898.9</v>
      </c>
      <c r="H98" s="261"/>
      <c r="I98" s="243">
        <v>1778.49</v>
      </c>
      <c r="J98" s="243">
        <v>1778.49</v>
      </c>
      <c r="K98" s="243">
        <v>1778.49</v>
      </c>
      <c r="L98" s="243">
        <v>1778.49</v>
      </c>
      <c r="M98" s="243">
        <v>1778.49</v>
      </c>
      <c r="N98" s="243">
        <v>1778.49</v>
      </c>
      <c r="O98" s="243">
        <v>1778.49</v>
      </c>
      <c r="P98" s="243">
        <v>1778.49</v>
      </c>
      <c r="Q98" s="243">
        <v>1778.49</v>
      </c>
      <c r="R98" s="243">
        <v>1898.9</v>
      </c>
      <c r="S98" s="243">
        <v>1898.9</v>
      </c>
      <c r="T98" s="243">
        <v>1898.9</v>
      </c>
      <c r="U98" s="263">
        <f t="shared" si="69"/>
        <v>21703.110000000004</v>
      </c>
      <c r="W98" s="264">
        <f t="shared" si="70"/>
        <v>1</v>
      </c>
      <c r="X98" s="264">
        <f t="shared" si="71"/>
        <v>1</v>
      </c>
      <c r="Y98" s="264">
        <f t="shared" si="72"/>
        <v>1</v>
      </c>
      <c r="Z98" s="264">
        <f t="shared" si="73"/>
        <v>1</v>
      </c>
      <c r="AA98" s="264">
        <f t="shared" si="74"/>
        <v>1</v>
      </c>
      <c r="AB98" s="264">
        <f t="shared" si="75"/>
        <v>1</v>
      </c>
      <c r="AC98" s="264">
        <f t="shared" si="76"/>
        <v>1</v>
      </c>
      <c r="AD98" s="264">
        <f t="shared" si="77"/>
        <v>1</v>
      </c>
      <c r="AE98" s="264">
        <f t="shared" si="78"/>
        <v>1</v>
      </c>
      <c r="AF98" s="264">
        <f t="shared" si="79"/>
        <v>1</v>
      </c>
      <c r="AG98" s="264">
        <f t="shared" si="80"/>
        <v>1</v>
      </c>
      <c r="AH98" s="264">
        <f t="shared" si="81"/>
        <v>1</v>
      </c>
      <c r="AI98" s="265">
        <f t="shared" si="87"/>
        <v>1</v>
      </c>
      <c r="AJ98" s="266">
        <f t="shared" si="88"/>
        <v>12</v>
      </c>
      <c r="AM98" s="241">
        <v>0</v>
      </c>
      <c r="AN98" s="240">
        <f t="shared" si="82"/>
        <v>0</v>
      </c>
      <c r="AO98" s="241">
        <v>1</v>
      </c>
      <c r="AP98" s="240">
        <f t="shared" si="83"/>
        <v>1</v>
      </c>
      <c r="AQ98" s="241">
        <v>0</v>
      </c>
      <c r="AR98" s="240">
        <f t="shared" si="84"/>
        <v>0</v>
      </c>
      <c r="AS98" s="241">
        <v>0</v>
      </c>
      <c r="AT98" s="240">
        <f t="shared" si="85"/>
        <v>0</v>
      </c>
    </row>
    <row r="99" spans="2:46" s="253" customFormat="1" x14ac:dyDescent="0.2">
      <c r="B99" s="241" t="str">
        <f t="shared" si="86"/>
        <v>WashcommercialWC8Y1W</v>
      </c>
      <c r="C99" s="232" t="s">
        <v>969</v>
      </c>
      <c r="D99" s="232" t="s">
        <v>244</v>
      </c>
      <c r="E99" s="238">
        <v>778.36</v>
      </c>
      <c r="F99" s="238">
        <v>778.36</v>
      </c>
      <c r="G99" s="238">
        <v>831.05</v>
      </c>
      <c r="H99" s="261"/>
      <c r="I99" s="243">
        <v>3891.8</v>
      </c>
      <c r="J99" s="243">
        <v>3891.8</v>
      </c>
      <c r="K99" s="243">
        <v>3891.8</v>
      </c>
      <c r="L99" s="243">
        <v>3891.8</v>
      </c>
      <c r="M99" s="243">
        <v>3891.8</v>
      </c>
      <c r="N99" s="243">
        <v>3891.8</v>
      </c>
      <c r="O99" s="243">
        <v>4086.39</v>
      </c>
      <c r="P99" s="243">
        <v>4670.16</v>
      </c>
      <c r="Q99" s="243">
        <v>4670.16</v>
      </c>
      <c r="R99" s="243">
        <v>4986.3</v>
      </c>
      <c r="S99" s="243">
        <v>4986.3</v>
      </c>
      <c r="T99" s="243">
        <v>4986.3</v>
      </c>
      <c r="U99" s="263">
        <f t="shared" si="69"/>
        <v>51736.41</v>
      </c>
      <c r="W99" s="264">
        <f t="shared" si="70"/>
        <v>5</v>
      </c>
      <c r="X99" s="264">
        <f t="shared" si="71"/>
        <v>5</v>
      </c>
      <c r="Y99" s="264">
        <f t="shared" si="72"/>
        <v>5</v>
      </c>
      <c r="Z99" s="264">
        <f t="shared" si="73"/>
        <v>5</v>
      </c>
      <c r="AA99" s="264">
        <f t="shared" si="74"/>
        <v>5</v>
      </c>
      <c r="AB99" s="264">
        <f t="shared" si="75"/>
        <v>5</v>
      </c>
      <c r="AC99" s="264">
        <f t="shared" si="76"/>
        <v>5.25</v>
      </c>
      <c r="AD99" s="264">
        <f t="shared" si="77"/>
        <v>6</v>
      </c>
      <c r="AE99" s="264">
        <f t="shared" si="78"/>
        <v>6</v>
      </c>
      <c r="AF99" s="264">
        <f t="shared" si="79"/>
        <v>6.0000000000000009</v>
      </c>
      <c r="AG99" s="264">
        <f t="shared" si="80"/>
        <v>6.0000000000000009</v>
      </c>
      <c r="AH99" s="264">
        <f t="shared" si="81"/>
        <v>6.0000000000000009</v>
      </c>
      <c r="AI99" s="265">
        <f t="shared" si="87"/>
        <v>5.4375</v>
      </c>
      <c r="AJ99" s="266">
        <f t="shared" si="88"/>
        <v>65.25</v>
      </c>
      <c r="AM99" s="241">
        <v>0</v>
      </c>
      <c r="AN99" s="240">
        <f t="shared" si="82"/>
        <v>0</v>
      </c>
      <c r="AO99" s="241">
        <v>1</v>
      </c>
      <c r="AP99" s="240">
        <f t="shared" si="83"/>
        <v>5.4375</v>
      </c>
      <c r="AQ99" s="241">
        <v>0</v>
      </c>
      <c r="AR99" s="240">
        <f t="shared" si="84"/>
        <v>0</v>
      </c>
      <c r="AS99" s="241">
        <v>0</v>
      </c>
      <c r="AT99" s="240">
        <f t="shared" si="85"/>
        <v>0</v>
      </c>
    </row>
    <row r="100" spans="2:46" s="253" customFormat="1" x14ac:dyDescent="0.2">
      <c r="B100" s="241" t="str">
        <f t="shared" si="86"/>
        <v>WashcommercialWC8Y2W</v>
      </c>
      <c r="C100" s="232" t="s">
        <v>970</v>
      </c>
      <c r="D100" s="232" t="s">
        <v>245</v>
      </c>
      <c r="E100" s="238">
        <v>1517.94</v>
      </c>
      <c r="F100" s="238">
        <v>1517.94</v>
      </c>
      <c r="G100" s="238">
        <v>1620.71</v>
      </c>
      <c r="H100" s="261"/>
      <c r="I100" s="243">
        <v>1517.94</v>
      </c>
      <c r="J100" s="243">
        <v>1517.94</v>
      </c>
      <c r="K100" s="243">
        <v>1517.94</v>
      </c>
      <c r="L100" s="243">
        <v>1517.94</v>
      </c>
      <c r="M100" s="243">
        <v>1517.94</v>
      </c>
      <c r="N100" s="243">
        <v>1517.94</v>
      </c>
      <c r="O100" s="243">
        <v>1138.46</v>
      </c>
      <c r="P100" s="243">
        <v>0</v>
      </c>
      <c r="Q100" s="243">
        <v>0</v>
      </c>
      <c r="R100" s="243">
        <v>0</v>
      </c>
      <c r="S100" s="243">
        <v>0</v>
      </c>
      <c r="T100" s="243">
        <v>0</v>
      </c>
      <c r="U100" s="263">
        <f t="shared" si="69"/>
        <v>10246.100000000002</v>
      </c>
      <c r="W100" s="264">
        <f t="shared" si="70"/>
        <v>1</v>
      </c>
      <c r="X100" s="264">
        <f t="shared" si="71"/>
        <v>1</v>
      </c>
      <c r="Y100" s="264">
        <f t="shared" si="72"/>
        <v>1</v>
      </c>
      <c r="Z100" s="264">
        <f t="shared" si="73"/>
        <v>1</v>
      </c>
      <c r="AA100" s="264">
        <f t="shared" si="74"/>
        <v>1</v>
      </c>
      <c r="AB100" s="264">
        <f t="shared" si="75"/>
        <v>1</v>
      </c>
      <c r="AC100" s="264">
        <f t="shared" si="76"/>
        <v>0.75000329393783682</v>
      </c>
      <c r="AD100" s="264">
        <f t="shared" si="77"/>
        <v>0</v>
      </c>
      <c r="AE100" s="264">
        <f t="shared" si="78"/>
        <v>0</v>
      </c>
      <c r="AF100" s="264">
        <f t="shared" si="79"/>
        <v>0</v>
      </c>
      <c r="AG100" s="264">
        <f t="shared" si="80"/>
        <v>0</v>
      </c>
      <c r="AH100" s="264">
        <f t="shared" si="81"/>
        <v>0</v>
      </c>
      <c r="AI100" s="265">
        <f t="shared" si="87"/>
        <v>0.56250027449481976</v>
      </c>
      <c r="AJ100" s="266">
        <f t="shared" si="88"/>
        <v>6.7500032939378372</v>
      </c>
      <c r="AM100" s="241">
        <v>0</v>
      </c>
      <c r="AN100" s="240">
        <f t="shared" si="82"/>
        <v>0</v>
      </c>
      <c r="AO100" s="241">
        <v>1</v>
      </c>
      <c r="AP100" s="240">
        <f t="shared" si="83"/>
        <v>0.56250027449481976</v>
      </c>
      <c r="AQ100" s="241">
        <v>0</v>
      </c>
      <c r="AR100" s="240">
        <f t="shared" si="84"/>
        <v>0</v>
      </c>
      <c r="AS100" s="241">
        <v>0</v>
      </c>
      <c r="AT100" s="240">
        <f t="shared" si="85"/>
        <v>0</v>
      </c>
    </row>
    <row r="101" spans="2:46" s="253" customFormat="1" x14ac:dyDescent="0.2">
      <c r="B101" s="241" t="str">
        <f>"Wash"&amp;"commercial"&amp;C101</f>
        <v>WashcommercialWCG40EOW</v>
      </c>
      <c r="C101" s="232" t="s">
        <v>1272</v>
      </c>
      <c r="D101" s="232" t="s">
        <v>1273</v>
      </c>
      <c r="E101" s="238">
        <v>15.61</v>
      </c>
      <c r="F101" s="238">
        <v>15.61</v>
      </c>
      <c r="G101" s="238">
        <v>16.670000000000002</v>
      </c>
      <c r="H101" s="261"/>
      <c r="I101" s="243">
        <v>0</v>
      </c>
      <c r="J101" s="243">
        <v>0</v>
      </c>
      <c r="K101" s="243">
        <v>0</v>
      </c>
      <c r="L101" s="243">
        <v>0</v>
      </c>
      <c r="M101" s="243">
        <v>0</v>
      </c>
      <c r="N101" s="243">
        <v>0</v>
      </c>
      <c r="O101" s="243">
        <v>0</v>
      </c>
      <c r="P101" s="243">
        <v>0</v>
      </c>
      <c r="Q101" s="243">
        <v>0</v>
      </c>
      <c r="R101" s="243">
        <v>0</v>
      </c>
      <c r="S101" s="243">
        <v>0</v>
      </c>
      <c r="T101" s="243">
        <v>0</v>
      </c>
      <c r="U101" s="263">
        <f t="shared" si="69"/>
        <v>0</v>
      </c>
      <c r="W101" s="264">
        <f t="shared" si="70"/>
        <v>0</v>
      </c>
      <c r="X101" s="264">
        <f t="shared" si="71"/>
        <v>0</v>
      </c>
      <c r="Y101" s="264">
        <f t="shared" si="72"/>
        <v>0</v>
      </c>
      <c r="Z101" s="264">
        <f t="shared" si="73"/>
        <v>0</v>
      </c>
      <c r="AA101" s="264">
        <f t="shared" si="74"/>
        <v>0</v>
      </c>
      <c r="AB101" s="264">
        <f t="shared" si="75"/>
        <v>0</v>
      </c>
      <c r="AC101" s="264">
        <f t="shared" si="76"/>
        <v>0</v>
      </c>
      <c r="AD101" s="264">
        <f t="shared" si="77"/>
        <v>0</v>
      </c>
      <c r="AE101" s="264">
        <f t="shared" si="78"/>
        <v>0</v>
      </c>
      <c r="AF101" s="264">
        <f t="shared" si="79"/>
        <v>0</v>
      </c>
      <c r="AG101" s="264">
        <f t="shared" si="80"/>
        <v>0</v>
      </c>
      <c r="AH101" s="264">
        <f t="shared" si="81"/>
        <v>0</v>
      </c>
      <c r="AI101" s="265">
        <f t="shared" si="87"/>
        <v>0</v>
      </c>
      <c r="AJ101" s="266">
        <f t="shared" si="88"/>
        <v>0</v>
      </c>
      <c r="AM101" s="241">
        <v>1</v>
      </c>
      <c r="AN101" s="240">
        <f t="shared" si="82"/>
        <v>0</v>
      </c>
      <c r="AO101" s="241">
        <v>0</v>
      </c>
      <c r="AP101" s="240">
        <f t="shared" si="83"/>
        <v>0</v>
      </c>
      <c r="AQ101" s="241">
        <v>0</v>
      </c>
      <c r="AR101" s="240">
        <f t="shared" si="84"/>
        <v>0</v>
      </c>
      <c r="AS101" s="241">
        <v>0</v>
      </c>
      <c r="AT101" s="240">
        <f t="shared" si="85"/>
        <v>0</v>
      </c>
    </row>
    <row r="102" spans="2:46" s="253" customFormat="1" x14ac:dyDescent="0.2">
      <c r="B102" s="241" t="str">
        <f t="shared" si="86"/>
        <v>WashcommercialWCG40MTH</v>
      </c>
      <c r="C102" s="232" t="s">
        <v>1274</v>
      </c>
      <c r="D102" s="232" t="s">
        <v>1275</v>
      </c>
      <c r="E102" s="238">
        <v>10.8</v>
      </c>
      <c r="F102" s="238">
        <v>10.8</v>
      </c>
      <c r="G102" s="238">
        <v>11.53</v>
      </c>
      <c r="H102" s="261"/>
      <c r="I102" s="243">
        <v>21.6</v>
      </c>
      <c r="J102" s="243">
        <v>21.6</v>
      </c>
      <c r="K102" s="243">
        <v>21.6</v>
      </c>
      <c r="L102" s="243">
        <v>21.6</v>
      </c>
      <c r="M102" s="243">
        <v>21.6</v>
      </c>
      <c r="N102" s="243">
        <v>21.6</v>
      </c>
      <c r="O102" s="243">
        <v>21.6</v>
      </c>
      <c r="P102" s="243">
        <v>21.6</v>
      </c>
      <c r="Q102" s="243">
        <v>21.6</v>
      </c>
      <c r="R102" s="243">
        <v>23.06</v>
      </c>
      <c r="S102" s="243">
        <v>23.06</v>
      </c>
      <c r="T102" s="243">
        <v>23.06</v>
      </c>
      <c r="U102" s="263">
        <f t="shared" si="69"/>
        <v>263.58</v>
      </c>
      <c r="W102" s="264">
        <f t="shared" si="70"/>
        <v>2</v>
      </c>
      <c r="X102" s="264">
        <f t="shared" si="71"/>
        <v>2</v>
      </c>
      <c r="Y102" s="264">
        <f t="shared" si="72"/>
        <v>2</v>
      </c>
      <c r="Z102" s="264">
        <f t="shared" si="73"/>
        <v>2</v>
      </c>
      <c r="AA102" s="264">
        <f t="shared" si="74"/>
        <v>2</v>
      </c>
      <c r="AB102" s="264">
        <f t="shared" si="75"/>
        <v>2</v>
      </c>
      <c r="AC102" s="264">
        <f t="shared" si="76"/>
        <v>2</v>
      </c>
      <c r="AD102" s="264">
        <f t="shared" si="77"/>
        <v>2</v>
      </c>
      <c r="AE102" s="264">
        <f t="shared" si="78"/>
        <v>2</v>
      </c>
      <c r="AF102" s="264">
        <f t="shared" si="79"/>
        <v>2</v>
      </c>
      <c r="AG102" s="264">
        <f t="shared" si="80"/>
        <v>2</v>
      </c>
      <c r="AH102" s="264">
        <f t="shared" si="81"/>
        <v>2</v>
      </c>
      <c r="AI102" s="265">
        <f t="shared" si="87"/>
        <v>2</v>
      </c>
      <c r="AJ102" s="266">
        <f t="shared" si="88"/>
        <v>24</v>
      </c>
      <c r="AM102" s="241">
        <v>1</v>
      </c>
      <c r="AN102" s="240">
        <f t="shared" si="82"/>
        <v>2</v>
      </c>
      <c r="AO102" s="241">
        <v>0</v>
      </c>
      <c r="AP102" s="240">
        <f t="shared" si="83"/>
        <v>0</v>
      </c>
      <c r="AQ102" s="241">
        <v>0</v>
      </c>
      <c r="AR102" s="240">
        <f t="shared" si="84"/>
        <v>0</v>
      </c>
      <c r="AS102" s="241">
        <v>0</v>
      </c>
      <c r="AT102" s="240">
        <f t="shared" si="85"/>
        <v>0</v>
      </c>
    </row>
    <row r="103" spans="2:46" s="253" customFormat="1" x14ac:dyDescent="0.2">
      <c r="B103" s="241" t="str">
        <f t="shared" si="86"/>
        <v>WashcommercialWCG40WK</v>
      </c>
      <c r="C103" s="232" t="s">
        <v>971</v>
      </c>
      <c r="D103" s="232" t="s">
        <v>977</v>
      </c>
      <c r="E103" s="238">
        <v>27.31</v>
      </c>
      <c r="F103" s="238">
        <v>27.31</v>
      </c>
      <c r="G103" s="238">
        <v>29.16</v>
      </c>
      <c r="H103" s="261"/>
      <c r="I103" s="243">
        <v>764.68</v>
      </c>
      <c r="J103" s="243">
        <v>764.68</v>
      </c>
      <c r="K103" s="243">
        <v>744.19</v>
      </c>
      <c r="L103" s="243">
        <v>716.88</v>
      </c>
      <c r="M103" s="243">
        <v>710.06</v>
      </c>
      <c r="N103" s="243">
        <v>710.06</v>
      </c>
      <c r="O103" s="243">
        <v>730.54</v>
      </c>
      <c r="P103" s="243">
        <v>710.06</v>
      </c>
      <c r="Q103" s="243">
        <v>737.37</v>
      </c>
      <c r="R103" s="243">
        <v>787.32</v>
      </c>
      <c r="S103" s="243">
        <v>787.32</v>
      </c>
      <c r="T103" s="243">
        <v>794.61</v>
      </c>
      <c r="U103" s="263">
        <f t="shared" si="69"/>
        <v>8957.7699999999986</v>
      </c>
      <c r="W103" s="264">
        <f t="shared" si="70"/>
        <v>28</v>
      </c>
      <c r="X103" s="264">
        <f t="shared" si="71"/>
        <v>28</v>
      </c>
      <c r="Y103" s="264">
        <f t="shared" si="72"/>
        <v>27.249725375320399</v>
      </c>
      <c r="Z103" s="264">
        <f t="shared" si="73"/>
        <v>26.249725375320395</v>
      </c>
      <c r="AA103" s="264">
        <f t="shared" si="74"/>
        <v>26</v>
      </c>
      <c r="AB103" s="264">
        <f t="shared" si="75"/>
        <v>26</v>
      </c>
      <c r="AC103" s="264">
        <f t="shared" si="76"/>
        <v>26.749908458440132</v>
      </c>
      <c r="AD103" s="264">
        <f t="shared" si="77"/>
        <v>26</v>
      </c>
      <c r="AE103" s="264">
        <f t="shared" si="78"/>
        <v>27</v>
      </c>
      <c r="AF103" s="264">
        <f t="shared" si="79"/>
        <v>27</v>
      </c>
      <c r="AG103" s="264">
        <f t="shared" si="80"/>
        <v>27</v>
      </c>
      <c r="AH103" s="264">
        <f t="shared" si="81"/>
        <v>27.25</v>
      </c>
      <c r="AI103" s="265">
        <f t="shared" si="87"/>
        <v>26.874946600756743</v>
      </c>
      <c r="AJ103" s="266">
        <f t="shared" si="88"/>
        <v>322.49935920908092</v>
      </c>
      <c r="AM103" s="241">
        <v>1</v>
      </c>
      <c r="AN103" s="240">
        <f t="shared" si="82"/>
        <v>26.874946600756743</v>
      </c>
      <c r="AO103" s="241">
        <v>0</v>
      </c>
      <c r="AP103" s="240">
        <f t="shared" si="83"/>
        <v>0</v>
      </c>
      <c r="AQ103" s="241">
        <v>0</v>
      </c>
      <c r="AR103" s="240">
        <f t="shared" si="84"/>
        <v>0</v>
      </c>
      <c r="AS103" s="241">
        <v>0</v>
      </c>
      <c r="AT103" s="240">
        <f t="shared" si="85"/>
        <v>0</v>
      </c>
    </row>
    <row r="104" spans="2:46" s="253" customFormat="1" x14ac:dyDescent="0.2">
      <c r="B104" s="241" t="str">
        <f t="shared" si="86"/>
        <v>WashcommercialWCG90WK</v>
      </c>
      <c r="C104" s="232" t="s">
        <v>972</v>
      </c>
      <c r="D104" s="232" t="s">
        <v>978</v>
      </c>
      <c r="E104" s="238">
        <v>47.67</v>
      </c>
      <c r="F104" s="238">
        <v>47.67</v>
      </c>
      <c r="G104" s="238">
        <v>50.89</v>
      </c>
      <c r="H104" s="261"/>
      <c r="I104" s="243">
        <v>2240.4899999999998</v>
      </c>
      <c r="J104" s="243">
        <v>2335.83</v>
      </c>
      <c r="K104" s="243">
        <v>2383.48</v>
      </c>
      <c r="L104" s="243">
        <v>2288.16</v>
      </c>
      <c r="M104" s="243">
        <v>2288.16</v>
      </c>
      <c r="N104" s="243">
        <v>2216.67</v>
      </c>
      <c r="O104" s="243">
        <v>2276.2399999999998</v>
      </c>
      <c r="P104" s="243">
        <v>2216.66</v>
      </c>
      <c r="Q104" s="243">
        <v>2240.4899999999998</v>
      </c>
      <c r="R104" s="243">
        <v>2391.83</v>
      </c>
      <c r="S104" s="243">
        <v>2417.2800000000002</v>
      </c>
      <c r="T104" s="243">
        <v>2493.61</v>
      </c>
      <c r="U104" s="263">
        <f t="shared" si="69"/>
        <v>27788.9</v>
      </c>
      <c r="W104" s="264">
        <f t="shared" si="70"/>
        <v>46.999999999999993</v>
      </c>
      <c r="X104" s="264">
        <f t="shared" si="71"/>
        <v>49</v>
      </c>
      <c r="Y104" s="264">
        <f t="shared" si="72"/>
        <v>49.999580448919652</v>
      </c>
      <c r="Z104" s="264">
        <f t="shared" si="73"/>
        <v>47.999999999999993</v>
      </c>
      <c r="AA104" s="264">
        <f t="shared" si="74"/>
        <v>47.999999999999993</v>
      </c>
      <c r="AB104" s="264">
        <f t="shared" si="75"/>
        <v>46.500314663310256</v>
      </c>
      <c r="AC104" s="264">
        <f t="shared" si="76"/>
        <v>47.749947556114954</v>
      </c>
      <c r="AD104" s="264">
        <f t="shared" si="77"/>
        <v>46.500104887770078</v>
      </c>
      <c r="AE104" s="264">
        <f t="shared" si="78"/>
        <v>46.999999999999993</v>
      </c>
      <c r="AF104" s="264">
        <f t="shared" si="79"/>
        <v>47</v>
      </c>
      <c r="AG104" s="264">
        <f t="shared" si="80"/>
        <v>47.500098251129891</v>
      </c>
      <c r="AH104" s="264">
        <f t="shared" si="81"/>
        <v>49</v>
      </c>
      <c r="AI104" s="265">
        <f t="shared" si="87"/>
        <v>47.770837150603739</v>
      </c>
      <c r="AJ104" s="266">
        <f t="shared" si="88"/>
        <v>573.25004580724487</v>
      </c>
      <c r="AM104" s="241">
        <v>1</v>
      </c>
      <c r="AN104" s="240">
        <f t="shared" si="82"/>
        <v>47.770837150603739</v>
      </c>
      <c r="AO104" s="241">
        <v>0</v>
      </c>
      <c r="AP104" s="240">
        <f t="shared" si="83"/>
        <v>0</v>
      </c>
      <c r="AQ104" s="241">
        <v>0</v>
      </c>
      <c r="AR104" s="240">
        <f t="shared" si="84"/>
        <v>0</v>
      </c>
      <c r="AS104" s="241">
        <v>0</v>
      </c>
      <c r="AT104" s="240">
        <f t="shared" si="85"/>
        <v>0</v>
      </c>
    </row>
    <row r="105" spans="2:46" s="253" customFormat="1" x14ac:dyDescent="0.2">
      <c r="B105" s="241" t="str">
        <f>"Wash"&amp;"commercial"&amp;C105</f>
        <v>WashcommercialCCTP1Y</v>
      </c>
      <c r="C105" s="232" t="s">
        <v>158</v>
      </c>
      <c r="D105" s="232" t="s">
        <v>261</v>
      </c>
      <c r="E105" s="238">
        <v>37.42</v>
      </c>
      <c r="F105" s="238">
        <v>37.42</v>
      </c>
      <c r="G105" s="238">
        <v>39.950000000000003</v>
      </c>
      <c r="H105" s="261"/>
      <c r="I105" s="243">
        <v>74.84</v>
      </c>
      <c r="J105" s="243">
        <v>0</v>
      </c>
      <c r="K105" s="243">
        <v>0</v>
      </c>
      <c r="L105" s="243">
        <v>0</v>
      </c>
      <c r="M105" s="243">
        <v>0</v>
      </c>
      <c r="N105" s="243">
        <v>0</v>
      </c>
      <c r="O105" s="243">
        <v>0</v>
      </c>
      <c r="P105" s="243">
        <v>74.84</v>
      </c>
      <c r="Q105" s="243">
        <v>0</v>
      </c>
      <c r="R105" s="243">
        <v>0</v>
      </c>
      <c r="S105" s="243">
        <v>0</v>
      </c>
      <c r="T105" s="243">
        <v>0</v>
      </c>
      <c r="U105" s="263">
        <f t="shared" si="69"/>
        <v>149.68</v>
      </c>
      <c r="W105" s="264">
        <f t="shared" si="70"/>
        <v>2</v>
      </c>
      <c r="X105" s="264">
        <f t="shared" si="71"/>
        <v>0</v>
      </c>
      <c r="Y105" s="264">
        <f t="shared" si="72"/>
        <v>0</v>
      </c>
      <c r="Z105" s="264">
        <f t="shared" si="73"/>
        <v>0</v>
      </c>
      <c r="AA105" s="264">
        <f t="shared" si="74"/>
        <v>0</v>
      </c>
      <c r="AB105" s="264">
        <f t="shared" si="75"/>
        <v>0</v>
      </c>
      <c r="AC105" s="264">
        <f t="shared" si="76"/>
        <v>0</v>
      </c>
      <c r="AD105" s="264">
        <f t="shared" si="77"/>
        <v>2</v>
      </c>
      <c r="AE105" s="264">
        <f t="shared" si="78"/>
        <v>0</v>
      </c>
      <c r="AF105" s="264">
        <f t="shared" si="79"/>
        <v>0</v>
      </c>
      <c r="AG105" s="264">
        <f t="shared" si="80"/>
        <v>0</v>
      </c>
      <c r="AH105" s="264">
        <f t="shared" si="81"/>
        <v>0</v>
      </c>
      <c r="AI105" s="265">
        <f t="shared" si="87"/>
        <v>0.33333333333333331</v>
      </c>
      <c r="AJ105" s="266">
        <f t="shared" si="88"/>
        <v>4</v>
      </c>
      <c r="AM105" s="241">
        <v>0</v>
      </c>
      <c r="AN105" s="240">
        <f t="shared" si="82"/>
        <v>0</v>
      </c>
      <c r="AO105" s="241">
        <v>1</v>
      </c>
      <c r="AP105" s="240">
        <f t="shared" si="83"/>
        <v>0.33333333333333331</v>
      </c>
      <c r="AQ105" s="241">
        <v>0</v>
      </c>
      <c r="AR105" s="240">
        <f t="shared" si="84"/>
        <v>0</v>
      </c>
      <c r="AS105" s="241">
        <v>0</v>
      </c>
      <c r="AT105" s="240">
        <f t="shared" si="85"/>
        <v>0</v>
      </c>
    </row>
    <row r="106" spans="2:46" s="253" customFormat="1" x14ac:dyDescent="0.2">
      <c r="B106" s="241" t="str">
        <f>"Wash"&amp;"commercial"&amp;C106</f>
        <v>WashcommercialCCTP15Y</v>
      </c>
      <c r="C106" s="232" t="s">
        <v>159</v>
      </c>
      <c r="D106" s="232" t="s">
        <v>262</v>
      </c>
      <c r="E106" s="238">
        <v>56.11</v>
      </c>
      <c r="F106" s="238">
        <v>56.11</v>
      </c>
      <c r="G106" s="238">
        <v>59.91</v>
      </c>
      <c r="H106" s="261"/>
      <c r="I106" s="243">
        <v>0</v>
      </c>
      <c r="J106" s="243">
        <v>0</v>
      </c>
      <c r="K106" s="243">
        <v>0</v>
      </c>
      <c r="L106" s="243">
        <v>0</v>
      </c>
      <c r="M106" s="243">
        <v>0</v>
      </c>
      <c r="N106" s="243">
        <v>0</v>
      </c>
      <c r="O106" s="243">
        <v>0</v>
      </c>
      <c r="P106" s="243">
        <v>0</v>
      </c>
      <c r="Q106" s="243">
        <v>0</v>
      </c>
      <c r="R106" s="243">
        <v>0</v>
      </c>
      <c r="S106" s="243">
        <v>0</v>
      </c>
      <c r="T106" s="243">
        <v>0</v>
      </c>
      <c r="U106" s="263">
        <f t="shared" si="69"/>
        <v>0</v>
      </c>
      <c r="W106" s="264">
        <f t="shared" si="70"/>
        <v>0</v>
      </c>
      <c r="X106" s="264">
        <f t="shared" si="71"/>
        <v>0</v>
      </c>
      <c r="Y106" s="264">
        <f t="shared" si="72"/>
        <v>0</v>
      </c>
      <c r="Z106" s="264">
        <f t="shared" si="73"/>
        <v>0</v>
      </c>
      <c r="AA106" s="264">
        <f t="shared" si="74"/>
        <v>0</v>
      </c>
      <c r="AB106" s="264">
        <f t="shared" si="75"/>
        <v>0</v>
      </c>
      <c r="AC106" s="264">
        <f t="shared" si="76"/>
        <v>0</v>
      </c>
      <c r="AD106" s="264">
        <f t="shared" si="77"/>
        <v>0</v>
      </c>
      <c r="AE106" s="264">
        <f t="shared" si="78"/>
        <v>0</v>
      </c>
      <c r="AF106" s="264">
        <f t="shared" si="79"/>
        <v>0</v>
      </c>
      <c r="AG106" s="264">
        <f t="shared" si="80"/>
        <v>0</v>
      </c>
      <c r="AH106" s="264">
        <f t="shared" si="81"/>
        <v>0</v>
      </c>
      <c r="AI106" s="265">
        <f t="shared" si="87"/>
        <v>0</v>
      </c>
      <c r="AJ106" s="266">
        <f t="shared" si="88"/>
        <v>0</v>
      </c>
      <c r="AM106" s="241">
        <v>0</v>
      </c>
      <c r="AN106" s="240">
        <f t="shared" si="82"/>
        <v>0</v>
      </c>
      <c r="AO106" s="241">
        <v>1</v>
      </c>
      <c r="AP106" s="240">
        <f t="shared" si="83"/>
        <v>0</v>
      </c>
      <c r="AQ106" s="241">
        <v>0</v>
      </c>
      <c r="AR106" s="240">
        <f t="shared" si="84"/>
        <v>0</v>
      </c>
      <c r="AS106" s="241">
        <v>0</v>
      </c>
      <c r="AT106" s="240">
        <f t="shared" si="85"/>
        <v>0</v>
      </c>
    </row>
    <row r="107" spans="2:46" s="253" customFormat="1" x14ac:dyDescent="0.2">
      <c r="B107" s="241" t="str">
        <f t="shared" ref="B107:B117" si="89">"Wash"&amp;"commercial"&amp;C107</f>
        <v>WashcommercialCCTP2Y</v>
      </c>
      <c r="C107" s="232" t="s">
        <v>160</v>
      </c>
      <c r="D107" s="232" t="s">
        <v>263</v>
      </c>
      <c r="E107" s="238">
        <v>74.84</v>
      </c>
      <c r="F107" s="238">
        <v>74.84</v>
      </c>
      <c r="G107" s="238">
        <v>79.91</v>
      </c>
      <c r="H107" s="261"/>
      <c r="I107" s="243">
        <v>74.84</v>
      </c>
      <c r="J107" s="243">
        <v>0</v>
      </c>
      <c r="K107" s="243">
        <v>0</v>
      </c>
      <c r="L107" s="243">
        <v>0</v>
      </c>
      <c r="M107" s="243">
        <v>0</v>
      </c>
      <c r="N107" s="243">
        <v>74.84</v>
      </c>
      <c r="O107" s="243">
        <v>149.68</v>
      </c>
      <c r="P107" s="243">
        <v>149.68</v>
      </c>
      <c r="Q107" s="243">
        <v>0</v>
      </c>
      <c r="R107" s="243">
        <v>0</v>
      </c>
      <c r="S107" s="243">
        <v>0</v>
      </c>
      <c r="T107" s="243">
        <v>79.91</v>
      </c>
      <c r="U107" s="263">
        <f t="shared" si="69"/>
        <v>528.95000000000005</v>
      </c>
      <c r="W107" s="264">
        <f t="shared" si="70"/>
        <v>1</v>
      </c>
      <c r="X107" s="264">
        <f t="shared" si="71"/>
        <v>0</v>
      </c>
      <c r="Y107" s="264">
        <f t="shared" si="72"/>
        <v>0</v>
      </c>
      <c r="Z107" s="264">
        <f t="shared" si="73"/>
        <v>0</v>
      </c>
      <c r="AA107" s="264">
        <f t="shared" si="74"/>
        <v>0</v>
      </c>
      <c r="AB107" s="264">
        <f t="shared" si="75"/>
        <v>1</v>
      </c>
      <c r="AC107" s="264">
        <f t="shared" si="76"/>
        <v>2</v>
      </c>
      <c r="AD107" s="264">
        <f t="shared" si="77"/>
        <v>2</v>
      </c>
      <c r="AE107" s="264">
        <f t="shared" si="78"/>
        <v>0</v>
      </c>
      <c r="AF107" s="264">
        <f t="shared" si="79"/>
        <v>0</v>
      </c>
      <c r="AG107" s="264">
        <f t="shared" si="80"/>
        <v>0</v>
      </c>
      <c r="AH107" s="264">
        <f t="shared" si="81"/>
        <v>1</v>
      </c>
      <c r="AI107" s="265">
        <f t="shared" si="87"/>
        <v>0.58333333333333337</v>
      </c>
      <c r="AJ107" s="266">
        <f t="shared" si="88"/>
        <v>7</v>
      </c>
      <c r="AM107" s="241">
        <v>0</v>
      </c>
      <c r="AN107" s="240">
        <f t="shared" si="82"/>
        <v>0</v>
      </c>
      <c r="AO107" s="241">
        <v>1</v>
      </c>
      <c r="AP107" s="240">
        <f t="shared" si="83"/>
        <v>0.58333333333333337</v>
      </c>
      <c r="AQ107" s="241">
        <v>0</v>
      </c>
      <c r="AR107" s="240">
        <f t="shared" si="84"/>
        <v>0</v>
      </c>
      <c r="AS107" s="241">
        <v>0</v>
      </c>
      <c r="AT107" s="240">
        <f t="shared" si="85"/>
        <v>0</v>
      </c>
    </row>
    <row r="108" spans="2:46" s="253" customFormat="1" x14ac:dyDescent="0.2">
      <c r="B108" s="241" t="str">
        <f t="shared" si="89"/>
        <v>WashcommercialCCTP3Y</v>
      </c>
      <c r="C108" s="232" t="s">
        <v>161</v>
      </c>
      <c r="D108" s="232" t="s">
        <v>264</v>
      </c>
      <c r="E108" s="238">
        <v>112.27</v>
      </c>
      <c r="F108" s="238">
        <v>112.27</v>
      </c>
      <c r="G108" s="238">
        <v>119.87</v>
      </c>
      <c r="H108" s="261"/>
      <c r="I108" s="243">
        <v>112.27</v>
      </c>
      <c r="J108" s="243">
        <v>112.27</v>
      </c>
      <c r="K108" s="243">
        <v>0</v>
      </c>
      <c r="L108" s="243">
        <v>0</v>
      </c>
      <c r="M108" s="243">
        <v>112.27</v>
      </c>
      <c r="N108" s="243">
        <v>112.27</v>
      </c>
      <c r="O108" s="243">
        <v>0</v>
      </c>
      <c r="P108" s="243">
        <v>112.27</v>
      </c>
      <c r="Q108" s="243">
        <v>0</v>
      </c>
      <c r="R108" s="243">
        <v>0</v>
      </c>
      <c r="S108" s="243">
        <v>0</v>
      </c>
      <c r="T108" s="243">
        <v>0</v>
      </c>
      <c r="U108" s="263">
        <f t="shared" si="69"/>
        <v>561.35</v>
      </c>
      <c r="W108" s="264">
        <f t="shared" si="70"/>
        <v>1</v>
      </c>
      <c r="X108" s="264">
        <f t="shared" si="71"/>
        <v>1</v>
      </c>
      <c r="Y108" s="264">
        <f t="shared" si="72"/>
        <v>0</v>
      </c>
      <c r="Z108" s="264">
        <f t="shared" si="73"/>
        <v>0</v>
      </c>
      <c r="AA108" s="264">
        <f t="shared" si="74"/>
        <v>1</v>
      </c>
      <c r="AB108" s="264">
        <f t="shared" si="75"/>
        <v>1</v>
      </c>
      <c r="AC108" s="264">
        <f t="shared" si="76"/>
        <v>0</v>
      </c>
      <c r="AD108" s="264">
        <f t="shared" si="77"/>
        <v>1</v>
      </c>
      <c r="AE108" s="264">
        <f t="shared" si="78"/>
        <v>0</v>
      </c>
      <c r="AF108" s="264">
        <f t="shared" si="79"/>
        <v>0</v>
      </c>
      <c r="AG108" s="264">
        <f t="shared" si="80"/>
        <v>0</v>
      </c>
      <c r="AH108" s="264">
        <f t="shared" si="81"/>
        <v>0</v>
      </c>
      <c r="AI108" s="265">
        <f t="shared" si="87"/>
        <v>0.41666666666666669</v>
      </c>
      <c r="AJ108" s="266">
        <f t="shared" si="88"/>
        <v>5</v>
      </c>
      <c r="AM108" s="241">
        <v>0</v>
      </c>
      <c r="AN108" s="240">
        <f t="shared" si="82"/>
        <v>0</v>
      </c>
      <c r="AO108" s="241">
        <v>1</v>
      </c>
      <c r="AP108" s="240">
        <f t="shared" si="83"/>
        <v>0.41666666666666669</v>
      </c>
      <c r="AQ108" s="241">
        <v>0</v>
      </c>
      <c r="AR108" s="240">
        <f t="shared" si="84"/>
        <v>0</v>
      </c>
      <c r="AS108" s="241">
        <v>0</v>
      </c>
      <c r="AT108" s="240">
        <f t="shared" si="85"/>
        <v>0</v>
      </c>
    </row>
    <row r="109" spans="2:46" s="253" customFormat="1" x14ac:dyDescent="0.2">
      <c r="B109" s="241" t="str">
        <f t="shared" si="89"/>
        <v>WashcommercialCCTP4Y</v>
      </c>
      <c r="C109" s="232" t="s">
        <v>162</v>
      </c>
      <c r="D109" s="232" t="s">
        <v>265</v>
      </c>
      <c r="E109" s="238">
        <v>149.69</v>
      </c>
      <c r="F109" s="238">
        <v>149.69</v>
      </c>
      <c r="G109" s="238">
        <v>159.82</v>
      </c>
      <c r="H109" s="261"/>
      <c r="I109" s="243">
        <v>299.38</v>
      </c>
      <c r="J109" s="243">
        <v>0</v>
      </c>
      <c r="K109" s="243">
        <v>449.07</v>
      </c>
      <c r="L109" s="243">
        <v>449.07</v>
      </c>
      <c r="M109" s="243">
        <v>299.38</v>
      </c>
      <c r="N109" s="243">
        <v>149.69</v>
      </c>
      <c r="O109" s="243">
        <v>149.69</v>
      </c>
      <c r="P109" s="243">
        <v>0</v>
      </c>
      <c r="Q109" s="243">
        <v>149.69</v>
      </c>
      <c r="R109" s="243">
        <v>149.69</v>
      </c>
      <c r="S109" s="243">
        <v>159.82</v>
      </c>
      <c r="T109" s="243">
        <v>319.64</v>
      </c>
      <c r="U109" s="263">
        <f t="shared" si="69"/>
        <v>2575.1200000000003</v>
      </c>
      <c r="W109" s="264">
        <f t="shared" si="70"/>
        <v>2</v>
      </c>
      <c r="X109" s="264">
        <f t="shared" si="71"/>
        <v>0</v>
      </c>
      <c r="Y109" s="264">
        <f t="shared" si="72"/>
        <v>3</v>
      </c>
      <c r="Z109" s="264">
        <f t="shared" si="73"/>
        <v>3</v>
      </c>
      <c r="AA109" s="264">
        <f t="shared" si="74"/>
        <v>2</v>
      </c>
      <c r="AB109" s="264">
        <f t="shared" si="75"/>
        <v>1</v>
      </c>
      <c r="AC109" s="264">
        <f t="shared" si="76"/>
        <v>1</v>
      </c>
      <c r="AD109" s="264">
        <f t="shared" si="77"/>
        <v>0</v>
      </c>
      <c r="AE109" s="264">
        <f t="shared" si="78"/>
        <v>1</v>
      </c>
      <c r="AF109" s="264">
        <f t="shared" si="79"/>
        <v>0.93661619321736955</v>
      </c>
      <c r="AG109" s="264">
        <f t="shared" si="80"/>
        <v>1</v>
      </c>
      <c r="AH109" s="264">
        <f t="shared" si="81"/>
        <v>2</v>
      </c>
      <c r="AI109" s="265">
        <f t="shared" si="87"/>
        <v>1.411384682768114</v>
      </c>
      <c r="AJ109" s="266">
        <f t="shared" si="88"/>
        <v>16.936616193217368</v>
      </c>
      <c r="AM109" s="241">
        <v>0</v>
      </c>
      <c r="AN109" s="240">
        <f t="shared" si="82"/>
        <v>0</v>
      </c>
      <c r="AO109" s="241">
        <v>1</v>
      </c>
      <c r="AP109" s="240">
        <f t="shared" si="83"/>
        <v>1.411384682768114</v>
      </c>
      <c r="AQ109" s="241">
        <v>0</v>
      </c>
      <c r="AR109" s="240">
        <f t="shared" si="84"/>
        <v>0</v>
      </c>
      <c r="AS109" s="241">
        <v>0</v>
      </c>
      <c r="AT109" s="240">
        <f t="shared" si="85"/>
        <v>0</v>
      </c>
    </row>
    <row r="110" spans="2:46" s="253" customFormat="1" x14ac:dyDescent="0.2">
      <c r="B110" s="241" t="str">
        <f t="shared" si="89"/>
        <v>WashcommercialCCTP6Y</v>
      </c>
      <c r="C110" s="232" t="s">
        <v>163</v>
      </c>
      <c r="D110" s="232" t="s">
        <v>266</v>
      </c>
      <c r="E110" s="238">
        <v>224.53</v>
      </c>
      <c r="F110" s="238">
        <v>224.53</v>
      </c>
      <c r="G110" s="238">
        <v>239.73</v>
      </c>
      <c r="H110" s="261"/>
      <c r="I110" s="243">
        <v>0</v>
      </c>
      <c r="J110" s="243">
        <v>0</v>
      </c>
      <c r="K110" s="243">
        <v>0</v>
      </c>
      <c r="L110" s="243">
        <v>0</v>
      </c>
      <c r="M110" s="243">
        <v>0</v>
      </c>
      <c r="N110" s="243">
        <v>0</v>
      </c>
      <c r="O110" s="243">
        <v>0</v>
      </c>
      <c r="P110" s="243">
        <v>0</v>
      </c>
      <c r="Q110" s="243">
        <v>0</v>
      </c>
      <c r="R110" s="243">
        <v>0</v>
      </c>
      <c r="S110" s="243">
        <v>0</v>
      </c>
      <c r="T110" s="243">
        <v>0</v>
      </c>
      <c r="U110" s="263">
        <f t="shared" si="69"/>
        <v>0</v>
      </c>
      <c r="W110" s="264">
        <f t="shared" si="70"/>
        <v>0</v>
      </c>
      <c r="X110" s="264">
        <f t="shared" si="71"/>
        <v>0</v>
      </c>
      <c r="Y110" s="264">
        <f t="shared" si="72"/>
        <v>0</v>
      </c>
      <c r="Z110" s="264">
        <f t="shared" si="73"/>
        <v>0</v>
      </c>
      <c r="AA110" s="264">
        <f t="shared" si="74"/>
        <v>0</v>
      </c>
      <c r="AB110" s="264">
        <f t="shared" si="75"/>
        <v>0</v>
      </c>
      <c r="AC110" s="264">
        <f t="shared" si="76"/>
        <v>0</v>
      </c>
      <c r="AD110" s="264">
        <f t="shared" si="77"/>
        <v>0</v>
      </c>
      <c r="AE110" s="264">
        <f t="shared" si="78"/>
        <v>0</v>
      </c>
      <c r="AF110" s="264">
        <f t="shared" si="79"/>
        <v>0</v>
      </c>
      <c r="AG110" s="264">
        <f t="shared" si="80"/>
        <v>0</v>
      </c>
      <c r="AH110" s="264">
        <f t="shared" si="81"/>
        <v>0</v>
      </c>
      <c r="AI110" s="265">
        <f t="shared" si="87"/>
        <v>0</v>
      </c>
      <c r="AJ110" s="266">
        <f t="shared" si="88"/>
        <v>0</v>
      </c>
      <c r="AM110" s="241">
        <v>0</v>
      </c>
      <c r="AN110" s="240">
        <f t="shared" si="82"/>
        <v>0</v>
      </c>
      <c r="AO110" s="241">
        <v>1</v>
      </c>
      <c r="AP110" s="240">
        <f t="shared" si="83"/>
        <v>0</v>
      </c>
      <c r="AQ110" s="241">
        <v>0</v>
      </c>
      <c r="AR110" s="240">
        <f t="shared" si="84"/>
        <v>0</v>
      </c>
      <c r="AS110" s="241">
        <v>0</v>
      </c>
      <c r="AT110" s="240">
        <f t="shared" si="85"/>
        <v>0</v>
      </c>
    </row>
    <row r="111" spans="2:46" s="253" customFormat="1" x14ac:dyDescent="0.2">
      <c r="B111" s="241" t="str">
        <f>"Wash"&amp;"residential"&amp;C111</f>
        <v>WashresidentialWSGL</v>
      </c>
      <c r="C111" s="232" t="s">
        <v>976</v>
      </c>
      <c r="D111" s="232" t="s">
        <v>980</v>
      </c>
      <c r="E111" s="238">
        <v>2.7349999999999999</v>
      </c>
      <c r="F111" s="238">
        <v>2.7349999999999999</v>
      </c>
      <c r="G111" s="238">
        <v>5.84</v>
      </c>
      <c r="H111" s="261"/>
      <c r="I111" s="243">
        <v>175.04</v>
      </c>
      <c r="J111" s="243">
        <v>172.3</v>
      </c>
      <c r="K111" s="243">
        <v>169.57</v>
      </c>
      <c r="L111" s="243">
        <v>169.57</v>
      </c>
      <c r="M111" s="243">
        <v>169.57</v>
      </c>
      <c r="N111" s="243">
        <v>169.57</v>
      </c>
      <c r="O111" s="243">
        <v>169.57</v>
      </c>
      <c r="P111" s="243">
        <v>169.57</v>
      </c>
      <c r="Q111" s="243">
        <v>169.57</v>
      </c>
      <c r="R111" s="243">
        <v>157.68</v>
      </c>
      <c r="S111" s="243">
        <v>181.04</v>
      </c>
      <c r="T111" s="243">
        <v>175.2</v>
      </c>
      <c r="U111" s="263">
        <f>SUM(I111:T111)</f>
        <v>2048.2499999999995</v>
      </c>
      <c r="W111" s="264">
        <f t="shared" si="70"/>
        <v>64</v>
      </c>
      <c r="X111" s="264">
        <f t="shared" si="71"/>
        <v>62.998171846435106</v>
      </c>
      <c r="Y111" s="264">
        <f t="shared" si="72"/>
        <v>62</v>
      </c>
      <c r="Z111" s="264">
        <f t="shared" si="73"/>
        <v>62</v>
      </c>
      <c r="AA111" s="264">
        <f t="shared" si="74"/>
        <v>62</v>
      </c>
      <c r="AB111" s="264">
        <f t="shared" si="75"/>
        <v>62</v>
      </c>
      <c r="AC111" s="264">
        <f t="shared" si="76"/>
        <v>62</v>
      </c>
      <c r="AD111" s="264">
        <f t="shared" si="77"/>
        <v>62</v>
      </c>
      <c r="AE111" s="264">
        <f t="shared" si="78"/>
        <v>62</v>
      </c>
      <c r="AF111" s="264">
        <f t="shared" si="79"/>
        <v>27.000000000000004</v>
      </c>
      <c r="AG111" s="264">
        <f t="shared" si="80"/>
        <v>31</v>
      </c>
      <c r="AH111" s="264">
        <f t="shared" si="81"/>
        <v>30</v>
      </c>
      <c r="AI111" s="264">
        <f>+IFERROR(AVERAGE(W111:AH111),0)</f>
        <v>54.083180987202923</v>
      </c>
      <c r="AJ111" s="264">
        <f>SUM(W111:AH111)</f>
        <v>648.99817184643507</v>
      </c>
      <c r="AM111" s="241">
        <v>1</v>
      </c>
      <c r="AN111" s="240">
        <f t="shared" si="82"/>
        <v>54.083180987202923</v>
      </c>
      <c r="AO111" s="241">
        <v>0</v>
      </c>
      <c r="AP111" s="240">
        <f t="shared" si="83"/>
        <v>0</v>
      </c>
      <c r="AQ111" s="241">
        <v>0</v>
      </c>
      <c r="AR111" s="240">
        <f t="shared" si="84"/>
        <v>0</v>
      </c>
      <c r="AS111" s="241">
        <v>0</v>
      </c>
      <c r="AT111" s="240">
        <f>+$AI111*AS111</f>
        <v>0</v>
      </c>
    </row>
    <row r="112" spans="2:46" s="253" customFormat="1" x14ac:dyDescent="0.2">
      <c r="B112" s="241" t="str">
        <f t="shared" si="89"/>
        <v>WashcommercialCCTP8Y</v>
      </c>
      <c r="C112" s="232" t="s">
        <v>164</v>
      </c>
      <c r="D112" s="232" t="s">
        <v>267</v>
      </c>
      <c r="E112" s="238">
        <v>299.38</v>
      </c>
      <c r="F112" s="238">
        <v>299.38</v>
      </c>
      <c r="G112" s="238">
        <v>319.64999999999998</v>
      </c>
      <c r="H112" s="261"/>
      <c r="I112" s="243">
        <v>0</v>
      </c>
      <c r="J112" s="243">
        <v>0</v>
      </c>
      <c r="K112" s="243">
        <v>0</v>
      </c>
      <c r="L112" s="243">
        <v>0</v>
      </c>
      <c r="M112" s="243">
        <v>0</v>
      </c>
      <c r="N112" s="243">
        <v>0</v>
      </c>
      <c r="O112" s="243">
        <v>0</v>
      </c>
      <c r="P112" s="243">
        <v>0</v>
      </c>
      <c r="Q112" s="243">
        <v>0</v>
      </c>
      <c r="R112" s="243">
        <v>0</v>
      </c>
      <c r="S112" s="243">
        <v>0</v>
      </c>
      <c r="T112" s="243">
        <v>0</v>
      </c>
      <c r="U112" s="263">
        <f t="shared" si="69"/>
        <v>0</v>
      </c>
      <c r="W112" s="264">
        <f t="shared" si="70"/>
        <v>0</v>
      </c>
      <c r="X112" s="264">
        <f t="shared" si="71"/>
        <v>0</v>
      </c>
      <c r="Y112" s="264">
        <f t="shared" si="72"/>
        <v>0</v>
      </c>
      <c r="Z112" s="264">
        <f t="shared" si="73"/>
        <v>0</v>
      </c>
      <c r="AA112" s="264">
        <f t="shared" si="74"/>
        <v>0</v>
      </c>
      <c r="AB112" s="264">
        <f t="shared" si="75"/>
        <v>0</v>
      </c>
      <c r="AC112" s="264">
        <f t="shared" si="76"/>
        <v>0</v>
      </c>
      <c r="AD112" s="264">
        <f t="shared" si="77"/>
        <v>0</v>
      </c>
      <c r="AE112" s="264">
        <f t="shared" si="78"/>
        <v>0</v>
      </c>
      <c r="AF112" s="264">
        <f t="shared" si="79"/>
        <v>0</v>
      </c>
      <c r="AG112" s="264">
        <f t="shared" si="80"/>
        <v>0</v>
      </c>
      <c r="AH112" s="264">
        <f t="shared" si="81"/>
        <v>0</v>
      </c>
      <c r="AI112" s="265">
        <f t="shared" si="87"/>
        <v>0</v>
      </c>
      <c r="AJ112" s="266">
        <f t="shared" si="88"/>
        <v>0</v>
      </c>
      <c r="AM112" s="241">
        <v>0</v>
      </c>
      <c r="AN112" s="240">
        <f t="shared" si="82"/>
        <v>0</v>
      </c>
      <c r="AO112" s="241">
        <v>1</v>
      </c>
      <c r="AP112" s="240">
        <f t="shared" si="83"/>
        <v>0</v>
      </c>
      <c r="AQ112" s="241">
        <v>0</v>
      </c>
      <c r="AR112" s="240">
        <f t="shared" si="84"/>
        <v>0</v>
      </c>
      <c r="AS112" s="241">
        <v>0</v>
      </c>
      <c r="AT112" s="240">
        <f t="shared" si="85"/>
        <v>0</v>
      </c>
    </row>
    <row r="113" spans="2:36" s="45" customFormat="1" x14ac:dyDescent="0.2">
      <c r="B113" s="1" t="str">
        <f t="shared" si="89"/>
        <v>WashcommercialCCSP1Y</v>
      </c>
      <c r="C113" s="58" t="s">
        <v>150</v>
      </c>
      <c r="D113" s="58" t="s">
        <v>253</v>
      </c>
      <c r="E113" s="11">
        <v>37.42</v>
      </c>
      <c r="F113" s="11">
        <v>37.42</v>
      </c>
      <c r="G113" s="11">
        <v>39.950000000000003</v>
      </c>
      <c r="H113" s="55"/>
      <c r="I113" s="14">
        <v>0</v>
      </c>
      <c r="J113" s="14">
        <v>0</v>
      </c>
      <c r="K113" s="14">
        <v>37.42</v>
      </c>
      <c r="L113" s="14">
        <v>0</v>
      </c>
      <c r="M113" s="14">
        <v>0</v>
      </c>
      <c r="N113" s="14">
        <v>0</v>
      </c>
      <c r="O113" s="14">
        <v>0</v>
      </c>
      <c r="P113" s="14">
        <v>0</v>
      </c>
      <c r="Q113" s="14">
        <v>0</v>
      </c>
      <c r="R113" s="14">
        <v>0</v>
      </c>
      <c r="S113" s="14">
        <v>0</v>
      </c>
      <c r="T113" s="14">
        <v>0</v>
      </c>
      <c r="U113" s="73">
        <f t="shared" si="69"/>
        <v>37.42</v>
      </c>
      <c r="W113" s="49">
        <f t="shared" si="70"/>
        <v>0</v>
      </c>
      <c r="X113" s="49">
        <f t="shared" si="71"/>
        <v>0</v>
      </c>
      <c r="Y113" s="49">
        <f t="shared" si="72"/>
        <v>1</v>
      </c>
      <c r="Z113" s="49">
        <f t="shared" si="73"/>
        <v>0</v>
      </c>
      <c r="AA113" s="49">
        <f t="shared" si="74"/>
        <v>0</v>
      </c>
      <c r="AB113" s="49">
        <f t="shared" si="75"/>
        <v>0</v>
      </c>
      <c r="AC113" s="49">
        <f t="shared" si="76"/>
        <v>0</v>
      </c>
      <c r="AD113" s="49">
        <f t="shared" si="77"/>
        <v>0</v>
      </c>
      <c r="AE113" s="49">
        <f t="shared" si="78"/>
        <v>0</v>
      </c>
      <c r="AF113" s="49">
        <f t="shared" si="79"/>
        <v>0</v>
      </c>
      <c r="AG113" s="49">
        <f t="shared" si="80"/>
        <v>0</v>
      </c>
      <c r="AH113" s="49">
        <f t="shared" si="81"/>
        <v>0</v>
      </c>
      <c r="AI113" s="47">
        <f t="shared" si="87"/>
        <v>8.3333333333333329E-2</v>
      </c>
      <c r="AJ113" s="134">
        <f t="shared" si="88"/>
        <v>1</v>
      </c>
    </row>
    <row r="114" spans="2:36" s="45" customFormat="1" x14ac:dyDescent="0.2">
      <c r="B114" s="1" t="str">
        <f t="shared" si="89"/>
        <v>WashcommercialCCSP2Y</v>
      </c>
      <c r="C114" s="58" t="s">
        <v>152</v>
      </c>
      <c r="D114" s="58" t="s">
        <v>255</v>
      </c>
      <c r="E114" s="11">
        <v>74.84</v>
      </c>
      <c r="F114" s="11">
        <v>74.84</v>
      </c>
      <c r="G114" s="11">
        <v>79.91</v>
      </c>
      <c r="H114" s="55"/>
      <c r="I114" s="14">
        <v>0</v>
      </c>
      <c r="J114" s="14">
        <v>0</v>
      </c>
      <c r="K114" s="14">
        <v>149.68</v>
      </c>
      <c r="L114" s="14">
        <v>74.84</v>
      </c>
      <c r="M114" s="14">
        <v>74.84</v>
      </c>
      <c r="N114" s="14">
        <v>74.84</v>
      </c>
      <c r="O114" s="14">
        <v>74.84</v>
      </c>
      <c r="P114" s="14">
        <v>0</v>
      </c>
      <c r="Q114" s="14">
        <v>0</v>
      </c>
      <c r="R114" s="14">
        <v>0</v>
      </c>
      <c r="S114" s="14">
        <v>79.91</v>
      </c>
      <c r="T114" s="14">
        <v>79.91</v>
      </c>
      <c r="U114" s="73">
        <f t="shared" si="69"/>
        <v>608.86</v>
      </c>
      <c r="W114" s="49">
        <f t="shared" si="70"/>
        <v>0</v>
      </c>
      <c r="X114" s="49">
        <f t="shared" si="71"/>
        <v>0</v>
      </c>
      <c r="Y114" s="49">
        <f t="shared" si="72"/>
        <v>2</v>
      </c>
      <c r="Z114" s="49">
        <f t="shared" si="73"/>
        <v>1</v>
      </c>
      <c r="AA114" s="49">
        <f t="shared" si="74"/>
        <v>1</v>
      </c>
      <c r="AB114" s="49">
        <f t="shared" si="75"/>
        <v>1</v>
      </c>
      <c r="AC114" s="49">
        <f t="shared" si="76"/>
        <v>1</v>
      </c>
      <c r="AD114" s="49">
        <f t="shared" si="77"/>
        <v>0</v>
      </c>
      <c r="AE114" s="49">
        <f t="shared" si="78"/>
        <v>0</v>
      </c>
      <c r="AF114" s="49">
        <f t="shared" si="79"/>
        <v>0</v>
      </c>
      <c r="AG114" s="49">
        <f t="shared" si="80"/>
        <v>1</v>
      </c>
      <c r="AH114" s="49">
        <f t="shared" si="81"/>
        <v>1</v>
      </c>
      <c r="AI114" s="47">
        <f t="shared" si="87"/>
        <v>0.66666666666666663</v>
      </c>
      <c r="AJ114" s="134">
        <f t="shared" si="88"/>
        <v>8</v>
      </c>
    </row>
    <row r="115" spans="2:36" s="45" customFormat="1" x14ac:dyDescent="0.2">
      <c r="B115" s="1" t="str">
        <f t="shared" si="89"/>
        <v>WashcommercialCCSP3Y</v>
      </c>
      <c r="C115" s="58" t="s">
        <v>153</v>
      </c>
      <c r="D115" s="58" t="s">
        <v>256</v>
      </c>
      <c r="E115" s="11">
        <v>112.27</v>
      </c>
      <c r="F115" s="11">
        <v>112.27</v>
      </c>
      <c r="G115" s="11">
        <v>119.87</v>
      </c>
      <c r="H115" s="55"/>
      <c r="I115" s="14">
        <v>112.27</v>
      </c>
      <c r="J115" s="14">
        <v>0</v>
      </c>
      <c r="K115" s="14">
        <v>0</v>
      </c>
      <c r="L115" s="14">
        <v>0</v>
      </c>
      <c r="M115" s="14">
        <v>0</v>
      </c>
      <c r="N115" s="14">
        <v>0</v>
      </c>
      <c r="O115" s="14">
        <v>0</v>
      </c>
      <c r="P115" s="14">
        <v>0</v>
      </c>
      <c r="Q115" s="14">
        <v>0</v>
      </c>
      <c r="R115" s="14">
        <v>0</v>
      </c>
      <c r="S115" s="14">
        <v>0</v>
      </c>
      <c r="T115" s="14">
        <v>0</v>
      </c>
      <c r="U115" s="73">
        <f t="shared" si="69"/>
        <v>112.27</v>
      </c>
      <c r="W115" s="49">
        <f t="shared" si="70"/>
        <v>1</v>
      </c>
      <c r="X115" s="49">
        <f t="shared" si="71"/>
        <v>0</v>
      </c>
      <c r="Y115" s="49">
        <f t="shared" si="72"/>
        <v>0</v>
      </c>
      <c r="Z115" s="49">
        <f t="shared" si="73"/>
        <v>0</v>
      </c>
      <c r="AA115" s="49">
        <f t="shared" si="74"/>
        <v>0</v>
      </c>
      <c r="AB115" s="49">
        <f t="shared" si="75"/>
        <v>0</v>
      </c>
      <c r="AC115" s="49">
        <f t="shared" si="76"/>
        <v>0</v>
      </c>
      <c r="AD115" s="49">
        <f t="shared" si="77"/>
        <v>0</v>
      </c>
      <c r="AE115" s="49">
        <f t="shared" si="78"/>
        <v>0</v>
      </c>
      <c r="AF115" s="49">
        <f t="shared" si="79"/>
        <v>0</v>
      </c>
      <c r="AG115" s="49">
        <f t="shared" si="80"/>
        <v>0</v>
      </c>
      <c r="AH115" s="49">
        <f t="shared" si="81"/>
        <v>0</v>
      </c>
      <c r="AI115" s="47">
        <f t="shared" si="87"/>
        <v>8.3333333333333329E-2</v>
      </c>
      <c r="AJ115" s="134">
        <f t="shared" si="88"/>
        <v>1</v>
      </c>
    </row>
    <row r="116" spans="2:36" s="45" customFormat="1" x14ac:dyDescent="0.2">
      <c r="B116" s="1" t="str">
        <f t="shared" si="89"/>
        <v>WashcommercialCCSP4Y</v>
      </c>
      <c r="C116" s="58" t="s">
        <v>155</v>
      </c>
      <c r="D116" s="58" t="s">
        <v>258</v>
      </c>
      <c r="E116" s="11">
        <v>149.69</v>
      </c>
      <c r="F116" s="11">
        <v>149.69</v>
      </c>
      <c r="G116" s="11">
        <v>159.82</v>
      </c>
      <c r="H116" s="55"/>
      <c r="I116" s="14">
        <v>0</v>
      </c>
      <c r="J116" s="14">
        <v>0</v>
      </c>
      <c r="K116" s="14">
        <v>0</v>
      </c>
      <c r="L116" s="14">
        <v>0</v>
      </c>
      <c r="M116" s="14">
        <v>0</v>
      </c>
      <c r="N116" s="14">
        <v>0</v>
      </c>
      <c r="O116" s="14">
        <v>0</v>
      </c>
      <c r="P116" s="14">
        <v>149.69</v>
      </c>
      <c r="Q116" s="14">
        <v>299.38</v>
      </c>
      <c r="R116" s="14">
        <v>0</v>
      </c>
      <c r="S116" s="14">
        <v>0</v>
      </c>
      <c r="T116" s="14">
        <v>0</v>
      </c>
      <c r="U116" s="73">
        <f t="shared" si="69"/>
        <v>449.07</v>
      </c>
      <c r="W116" s="49">
        <f t="shared" si="70"/>
        <v>0</v>
      </c>
      <c r="X116" s="49">
        <f t="shared" si="71"/>
        <v>0</v>
      </c>
      <c r="Y116" s="49">
        <f t="shared" si="72"/>
        <v>0</v>
      </c>
      <c r="Z116" s="49">
        <f t="shared" si="73"/>
        <v>0</v>
      </c>
      <c r="AA116" s="49">
        <f t="shared" si="74"/>
        <v>0</v>
      </c>
      <c r="AB116" s="49">
        <f t="shared" si="75"/>
        <v>0</v>
      </c>
      <c r="AC116" s="49">
        <f t="shared" si="76"/>
        <v>0</v>
      </c>
      <c r="AD116" s="49">
        <f t="shared" si="77"/>
        <v>1</v>
      </c>
      <c r="AE116" s="49">
        <f t="shared" si="78"/>
        <v>2</v>
      </c>
      <c r="AF116" s="49">
        <f t="shared" si="79"/>
        <v>0</v>
      </c>
      <c r="AG116" s="49">
        <f t="shared" si="80"/>
        <v>0</v>
      </c>
      <c r="AH116" s="49">
        <f t="shared" si="81"/>
        <v>0</v>
      </c>
      <c r="AI116" s="47">
        <f t="shared" si="87"/>
        <v>0.25</v>
      </c>
      <c r="AJ116" s="134">
        <f t="shared" si="88"/>
        <v>3</v>
      </c>
    </row>
    <row r="117" spans="2:36" s="45" customFormat="1" x14ac:dyDescent="0.2">
      <c r="B117" s="1" t="str">
        <f t="shared" si="89"/>
        <v>WashcommercialCCSP8Y</v>
      </c>
      <c r="C117" s="58" t="s">
        <v>157</v>
      </c>
      <c r="D117" s="58" t="s">
        <v>260</v>
      </c>
      <c r="E117" s="11">
        <v>149.69</v>
      </c>
      <c r="F117" s="11">
        <v>149.69</v>
      </c>
      <c r="G117" s="11">
        <v>319.64999999999998</v>
      </c>
      <c r="H117" s="55"/>
      <c r="I117" s="14">
        <v>0</v>
      </c>
      <c r="J117" s="14">
        <v>0</v>
      </c>
      <c r="K117" s="14">
        <v>0</v>
      </c>
      <c r="L117" s="14">
        <v>0</v>
      </c>
      <c r="M117" s="14">
        <v>0</v>
      </c>
      <c r="N117" s="14">
        <v>0</v>
      </c>
      <c r="O117" s="14">
        <v>0</v>
      </c>
      <c r="P117" s="14">
        <v>0</v>
      </c>
      <c r="Q117" s="14">
        <v>0</v>
      </c>
      <c r="R117" s="14">
        <v>0</v>
      </c>
      <c r="S117" s="14">
        <v>319.64999999999998</v>
      </c>
      <c r="T117" s="14">
        <v>0</v>
      </c>
      <c r="U117" s="73">
        <f t="shared" si="69"/>
        <v>319.64999999999998</v>
      </c>
      <c r="W117" s="49">
        <f t="shared" si="70"/>
        <v>0</v>
      </c>
      <c r="X117" s="49">
        <f t="shared" si="71"/>
        <v>0</v>
      </c>
      <c r="Y117" s="49">
        <f t="shared" si="72"/>
        <v>0</v>
      </c>
      <c r="Z117" s="49">
        <f t="shared" si="73"/>
        <v>0</v>
      </c>
      <c r="AA117" s="49">
        <f t="shared" si="74"/>
        <v>0</v>
      </c>
      <c r="AB117" s="49">
        <f t="shared" si="75"/>
        <v>0</v>
      </c>
      <c r="AC117" s="49">
        <f t="shared" si="76"/>
        <v>0</v>
      </c>
      <c r="AD117" s="49">
        <f t="shared" si="77"/>
        <v>0</v>
      </c>
      <c r="AE117" s="49">
        <f t="shared" si="78"/>
        <v>0</v>
      </c>
      <c r="AF117" s="49">
        <f t="shared" si="79"/>
        <v>0</v>
      </c>
      <c r="AG117" s="49">
        <f t="shared" si="80"/>
        <v>1</v>
      </c>
      <c r="AH117" s="49">
        <f t="shared" si="81"/>
        <v>0</v>
      </c>
      <c r="AI117" s="47">
        <f t="shared" si="87"/>
        <v>8.3333333333333329E-2</v>
      </c>
      <c r="AJ117" s="134">
        <f t="shared" si="88"/>
        <v>1</v>
      </c>
    </row>
    <row r="118" spans="2:36" s="45" customFormat="1" x14ac:dyDescent="0.2">
      <c r="B118" s="1" t="str">
        <f>"Wash"&amp;"commercial"&amp;C118</f>
        <v>WashcommercialCCSP15Y</v>
      </c>
      <c r="C118" s="58" t="s">
        <v>151</v>
      </c>
      <c r="D118" s="58" t="s">
        <v>254</v>
      </c>
      <c r="E118" s="11">
        <v>149.69</v>
      </c>
      <c r="F118" s="11">
        <v>149.69</v>
      </c>
      <c r="G118" s="11">
        <v>59.91</v>
      </c>
      <c r="H118" s="55"/>
      <c r="I118" s="14">
        <v>0</v>
      </c>
      <c r="J118" s="14">
        <v>0</v>
      </c>
      <c r="K118" s="14">
        <v>0</v>
      </c>
      <c r="L118" s="14">
        <v>0</v>
      </c>
      <c r="M118" s="14">
        <v>0</v>
      </c>
      <c r="N118" s="14">
        <v>0</v>
      </c>
      <c r="O118" s="14">
        <v>0</v>
      </c>
      <c r="P118" s="14">
        <v>0</v>
      </c>
      <c r="Q118" s="14">
        <v>0</v>
      </c>
      <c r="R118" s="14">
        <v>59.91</v>
      </c>
      <c r="S118" s="14">
        <v>0</v>
      </c>
      <c r="T118" s="14">
        <v>0</v>
      </c>
      <c r="U118" s="73">
        <f>SUM(I118:T118)</f>
        <v>59.91</v>
      </c>
      <c r="W118" s="49">
        <f t="shared" si="70"/>
        <v>0</v>
      </c>
      <c r="X118" s="49">
        <f t="shared" si="71"/>
        <v>0</v>
      </c>
      <c r="Y118" s="49">
        <f t="shared" si="72"/>
        <v>0</v>
      </c>
      <c r="Z118" s="49">
        <f t="shared" si="73"/>
        <v>0</v>
      </c>
      <c r="AA118" s="49">
        <f t="shared" si="74"/>
        <v>0</v>
      </c>
      <c r="AB118" s="49">
        <f t="shared" si="75"/>
        <v>0</v>
      </c>
      <c r="AC118" s="49">
        <f t="shared" si="76"/>
        <v>0</v>
      </c>
      <c r="AD118" s="49">
        <f t="shared" si="77"/>
        <v>0</v>
      </c>
      <c r="AE118" s="49">
        <f t="shared" si="78"/>
        <v>0</v>
      </c>
      <c r="AF118" s="49">
        <f t="shared" si="79"/>
        <v>1</v>
      </c>
      <c r="AG118" s="49">
        <f t="shared" si="80"/>
        <v>0</v>
      </c>
      <c r="AH118" s="49">
        <f t="shared" si="81"/>
        <v>0</v>
      </c>
      <c r="AI118" s="47">
        <f>+IFERROR(AVERAGE(W118:AH118),0)</f>
        <v>8.3333333333333329E-2</v>
      </c>
      <c r="AJ118" s="134">
        <f>SUM(W118:AH118)</f>
        <v>1</v>
      </c>
    </row>
    <row r="119" spans="2:36" s="45" customFormat="1" x14ac:dyDescent="0.2">
      <c r="B119" s="1" t="str">
        <f t="shared" si="86"/>
        <v>WashcommercialWCACCESS</v>
      </c>
      <c r="C119" s="58" t="s">
        <v>973</v>
      </c>
      <c r="D119" s="58" t="s">
        <v>294</v>
      </c>
      <c r="E119" s="11">
        <v>8.92</v>
      </c>
      <c r="F119" s="11">
        <v>8.92</v>
      </c>
      <c r="G119" s="11">
        <v>9.52</v>
      </c>
      <c r="H119" s="55"/>
      <c r="I119" s="14">
        <v>385.79</v>
      </c>
      <c r="J119" s="14">
        <v>392.48</v>
      </c>
      <c r="K119" s="14">
        <v>392.48</v>
      </c>
      <c r="L119" s="14">
        <v>401.4</v>
      </c>
      <c r="M119" s="14">
        <v>401.4</v>
      </c>
      <c r="N119" s="14">
        <v>401.4</v>
      </c>
      <c r="O119" s="14">
        <v>401.4</v>
      </c>
      <c r="P119" s="14">
        <v>392.48</v>
      </c>
      <c r="Q119" s="14">
        <v>394.71</v>
      </c>
      <c r="R119" s="14">
        <v>418.88</v>
      </c>
      <c r="S119" s="14">
        <v>418.88</v>
      </c>
      <c r="T119" s="14">
        <v>418.88</v>
      </c>
      <c r="U119" s="73">
        <f t="shared" si="69"/>
        <v>4820.18</v>
      </c>
      <c r="W119" s="49">
        <f t="shared" si="70"/>
        <v>43.25</v>
      </c>
      <c r="X119" s="49">
        <f t="shared" si="71"/>
        <v>44</v>
      </c>
      <c r="Y119" s="49">
        <f t="shared" si="72"/>
        <v>44</v>
      </c>
      <c r="Z119" s="49">
        <f t="shared" si="73"/>
        <v>45</v>
      </c>
      <c r="AA119" s="49">
        <f t="shared" si="74"/>
        <v>45</v>
      </c>
      <c r="AB119" s="49">
        <f t="shared" si="75"/>
        <v>45</v>
      </c>
      <c r="AC119" s="49">
        <f t="shared" si="76"/>
        <v>45</v>
      </c>
      <c r="AD119" s="49">
        <f t="shared" si="77"/>
        <v>44</v>
      </c>
      <c r="AE119" s="49">
        <f t="shared" si="78"/>
        <v>44.25</v>
      </c>
      <c r="AF119" s="49">
        <f t="shared" si="79"/>
        <v>44</v>
      </c>
      <c r="AG119" s="49">
        <f t="shared" si="80"/>
        <v>44</v>
      </c>
      <c r="AH119" s="49">
        <f t="shared" si="81"/>
        <v>44</v>
      </c>
      <c r="AI119" s="47">
        <f t="shared" si="87"/>
        <v>44.291666666666664</v>
      </c>
      <c r="AJ119" s="134">
        <f t="shared" si="88"/>
        <v>531.5</v>
      </c>
    </row>
    <row r="120" spans="2:36" s="45" customFormat="1" x14ac:dyDescent="0.2">
      <c r="B120" s="1" t="str">
        <f t="shared" si="86"/>
        <v>WashcommercialCCPLACE</v>
      </c>
      <c r="C120" s="58" t="s">
        <v>178</v>
      </c>
      <c r="D120" s="58" t="s">
        <v>274</v>
      </c>
      <c r="E120" s="11">
        <v>30.96</v>
      </c>
      <c r="F120" s="11">
        <v>30.96</v>
      </c>
      <c r="G120" s="11">
        <v>33.06</v>
      </c>
      <c r="H120" s="55"/>
      <c r="I120" s="14">
        <v>0</v>
      </c>
      <c r="J120" s="14">
        <v>0</v>
      </c>
      <c r="K120" s="14">
        <v>0</v>
      </c>
      <c r="L120" s="14">
        <v>0</v>
      </c>
      <c r="M120" s="14">
        <v>0</v>
      </c>
      <c r="N120" s="14">
        <v>0</v>
      </c>
      <c r="O120" s="14">
        <v>0</v>
      </c>
      <c r="P120" s="14">
        <v>0</v>
      </c>
      <c r="Q120" s="14">
        <v>0</v>
      </c>
      <c r="R120" s="14">
        <v>0</v>
      </c>
      <c r="S120" s="14">
        <v>0</v>
      </c>
      <c r="T120" s="14">
        <v>0</v>
      </c>
      <c r="U120" s="73">
        <f t="shared" si="69"/>
        <v>0</v>
      </c>
      <c r="W120" s="49">
        <f t="shared" si="70"/>
        <v>0</v>
      </c>
      <c r="X120" s="49">
        <f t="shared" si="71"/>
        <v>0</v>
      </c>
      <c r="Y120" s="49">
        <f t="shared" si="72"/>
        <v>0</v>
      </c>
      <c r="Z120" s="49">
        <f t="shared" si="73"/>
        <v>0</v>
      </c>
      <c r="AA120" s="49">
        <f t="shared" si="74"/>
        <v>0</v>
      </c>
      <c r="AB120" s="49">
        <f t="shared" si="75"/>
        <v>0</v>
      </c>
      <c r="AC120" s="49">
        <f t="shared" si="76"/>
        <v>0</v>
      </c>
      <c r="AD120" s="49">
        <f t="shared" si="77"/>
        <v>0</v>
      </c>
      <c r="AE120" s="49">
        <f t="shared" si="78"/>
        <v>0</v>
      </c>
      <c r="AF120" s="49">
        <f t="shared" si="79"/>
        <v>0</v>
      </c>
      <c r="AG120" s="49">
        <f t="shared" si="80"/>
        <v>0</v>
      </c>
      <c r="AH120" s="49">
        <f t="shared" si="81"/>
        <v>0</v>
      </c>
      <c r="AI120" s="47">
        <f t="shared" si="87"/>
        <v>0</v>
      </c>
      <c r="AJ120" s="134">
        <f t="shared" si="88"/>
        <v>0</v>
      </c>
    </row>
    <row r="121" spans="2:36" s="45" customFormat="1" x14ac:dyDescent="0.2">
      <c r="B121" s="1" t="str">
        <f t="shared" si="86"/>
        <v>WashcommercialWCPLACE</v>
      </c>
      <c r="C121" s="58" t="s">
        <v>974</v>
      </c>
      <c r="D121" s="58" t="s">
        <v>274</v>
      </c>
      <c r="E121" s="11">
        <v>30.96</v>
      </c>
      <c r="F121" s="11">
        <v>30.96</v>
      </c>
      <c r="G121" s="11">
        <v>33.06</v>
      </c>
      <c r="H121" s="55"/>
      <c r="I121" s="14">
        <v>61.92</v>
      </c>
      <c r="J121" s="14">
        <v>0</v>
      </c>
      <c r="K121" s="14">
        <v>61.92</v>
      </c>
      <c r="L121" s="14">
        <v>30.96</v>
      </c>
      <c r="M121" s="14">
        <v>30.96</v>
      </c>
      <c r="N121" s="14">
        <v>61.92</v>
      </c>
      <c r="O121" s="14">
        <v>0</v>
      </c>
      <c r="P121" s="14">
        <v>30.96</v>
      </c>
      <c r="Q121" s="14">
        <v>30.96</v>
      </c>
      <c r="R121" s="14">
        <v>66.12</v>
      </c>
      <c r="S121" s="14">
        <v>66.12</v>
      </c>
      <c r="T121" s="14">
        <v>66.12</v>
      </c>
      <c r="U121" s="73">
        <f t="shared" si="69"/>
        <v>507.96</v>
      </c>
      <c r="W121" s="49">
        <f t="shared" si="70"/>
        <v>2</v>
      </c>
      <c r="X121" s="49">
        <f t="shared" si="71"/>
        <v>0</v>
      </c>
      <c r="Y121" s="49">
        <f t="shared" si="72"/>
        <v>2</v>
      </c>
      <c r="Z121" s="49">
        <f t="shared" si="73"/>
        <v>1</v>
      </c>
      <c r="AA121" s="49">
        <f t="shared" si="74"/>
        <v>1</v>
      </c>
      <c r="AB121" s="49">
        <f t="shared" si="75"/>
        <v>2</v>
      </c>
      <c r="AC121" s="49">
        <f t="shared" si="76"/>
        <v>0</v>
      </c>
      <c r="AD121" s="49">
        <f t="shared" si="77"/>
        <v>1</v>
      </c>
      <c r="AE121" s="49">
        <f t="shared" si="78"/>
        <v>1</v>
      </c>
      <c r="AF121" s="49">
        <f t="shared" si="79"/>
        <v>2</v>
      </c>
      <c r="AG121" s="49">
        <f t="shared" si="80"/>
        <v>2</v>
      </c>
      <c r="AH121" s="49">
        <f t="shared" si="81"/>
        <v>2</v>
      </c>
      <c r="AI121" s="47">
        <f t="shared" si="87"/>
        <v>1.3333333333333333</v>
      </c>
      <c r="AJ121" s="134">
        <f t="shared" si="88"/>
        <v>16</v>
      </c>
    </row>
    <row r="122" spans="2:36" s="45" customFormat="1" x14ac:dyDescent="0.2">
      <c r="B122" s="1" t="str">
        <f t="shared" si="86"/>
        <v>WashcommercialCCEXCAN</v>
      </c>
      <c r="C122" s="58" t="s">
        <v>174</v>
      </c>
      <c r="D122" s="58" t="s">
        <v>270</v>
      </c>
      <c r="E122" s="11">
        <v>10.53</v>
      </c>
      <c r="F122" s="11">
        <v>10.53</v>
      </c>
      <c r="G122" s="11">
        <v>11.24</v>
      </c>
      <c r="H122" s="55"/>
      <c r="I122" s="14">
        <v>115.83</v>
      </c>
      <c r="J122" s="14">
        <v>73.709999999999994</v>
      </c>
      <c r="K122" s="14">
        <v>84.24</v>
      </c>
      <c r="L122" s="14">
        <v>105.3</v>
      </c>
      <c r="M122" s="14">
        <v>168.48</v>
      </c>
      <c r="N122" s="14">
        <v>200.07</v>
      </c>
      <c r="O122" s="14">
        <v>179.01</v>
      </c>
      <c r="P122" s="14">
        <v>63.18</v>
      </c>
      <c r="Q122" s="14">
        <v>73.16</v>
      </c>
      <c r="R122" s="14">
        <v>56.2</v>
      </c>
      <c r="S122" s="14">
        <v>44.96</v>
      </c>
      <c r="T122" s="14">
        <v>101.16</v>
      </c>
      <c r="U122" s="73">
        <f t="shared" si="69"/>
        <v>1265.3</v>
      </c>
      <c r="W122" s="49">
        <f t="shared" si="70"/>
        <v>11</v>
      </c>
      <c r="X122" s="49">
        <f t="shared" si="71"/>
        <v>7</v>
      </c>
      <c r="Y122" s="49">
        <f t="shared" si="72"/>
        <v>8</v>
      </c>
      <c r="Z122" s="49">
        <f t="shared" si="73"/>
        <v>10</v>
      </c>
      <c r="AA122" s="49">
        <f t="shared" si="74"/>
        <v>16</v>
      </c>
      <c r="AB122" s="49">
        <f t="shared" si="75"/>
        <v>19</v>
      </c>
      <c r="AC122" s="49">
        <f t="shared" si="76"/>
        <v>17</v>
      </c>
      <c r="AD122" s="49">
        <f t="shared" si="77"/>
        <v>6</v>
      </c>
      <c r="AE122" s="49">
        <f t="shared" si="78"/>
        <v>6.9477682811016148</v>
      </c>
      <c r="AF122" s="49">
        <f t="shared" si="79"/>
        <v>5</v>
      </c>
      <c r="AG122" s="49">
        <f t="shared" si="80"/>
        <v>4</v>
      </c>
      <c r="AH122" s="49">
        <f t="shared" si="81"/>
        <v>9</v>
      </c>
      <c r="AI122" s="47">
        <f t="shared" si="87"/>
        <v>9.9123140234251341</v>
      </c>
      <c r="AJ122" s="134">
        <f t="shared" si="88"/>
        <v>118.94776828110162</v>
      </c>
    </row>
    <row r="123" spans="2:36" s="45" customFormat="1" x14ac:dyDescent="0.2">
      <c r="B123" s="178" t="str">
        <f t="shared" si="86"/>
        <v>WashcommercialCRTRIP</v>
      </c>
      <c r="C123" s="288" t="s">
        <v>200</v>
      </c>
      <c r="D123" s="288" t="s">
        <v>106</v>
      </c>
      <c r="E123" s="203">
        <v>46.13</v>
      </c>
      <c r="F123" s="203">
        <v>11.53</v>
      </c>
      <c r="G123" s="203">
        <v>49.25</v>
      </c>
      <c r="H123" s="55"/>
      <c r="I123" s="14">
        <v>0</v>
      </c>
      <c r="J123" s="14">
        <v>0</v>
      </c>
      <c r="K123" s="14">
        <v>0</v>
      </c>
      <c r="L123" s="14">
        <v>0</v>
      </c>
      <c r="M123" s="14">
        <v>0</v>
      </c>
      <c r="N123" s="14">
        <v>0</v>
      </c>
      <c r="O123" s="14">
        <v>0</v>
      </c>
      <c r="P123" s="14">
        <v>0</v>
      </c>
      <c r="Q123" s="14">
        <v>0</v>
      </c>
      <c r="R123" s="14">
        <v>0</v>
      </c>
      <c r="S123" s="14">
        <v>49.25</v>
      </c>
      <c r="T123" s="14">
        <v>0</v>
      </c>
      <c r="U123" s="73">
        <f>SUM(I123:T123)</f>
        <v>49.25</v>
      </c>
      <c r="W123" s="49">
        <f t="shared" si="70"/>
        <v>0</v>
      </c>
      <c r="X123" s="49">
        <f t="shared" si="71"/>
        <v>0</v>
      </c>
      <c r="Y123" s="49">
        <f t="shared" si="72"/>
        <v>0</v>
      </c>
      <c r="Z123" s="49">
        <f t="shared" si="73"/>
        <v>0</v>
      </c>
      <c r="AA123" s="49">
        <f t="shared" si="74"/>
        <v>0</v>
      </c>
      <c r="AB123" s="49">
        <f t="shared" si="75"/>
        <v>0</v>
      </c>
      <c r="AC123" s="49">
        <f t="shared" si="76"/>
        <v>0</v>
      </c>
      <c r="AD123" s="49">
        <f t="shared" si="77"/>
        <v>0</v>
      </c>
      <c r="AE123" s="49">
        <f t="shared" si="78"/>
        <v>0</v>
      </c>
      <c r="AF123" s="49">
        <f t="shared" si="79"/>
        <v>0</v>
      </c>
      <c r="AG123" s="49">
        <f t="shared" si="80"/>
        <v>1</v>
      </c>
      <c r="AH123" s="49">
        <f t="shared" si="81"/>
        <v>0</v>
      </c>
      <c r="AI123" s="47"/>
      <c r="AJ123" s="134"/>
    </row>
    <row r="124" spans="2:36" s="45" customFormat="1" x14ac:dyDescent="0.2">
      <c r="B124" s="1" t="str">
        <f t="shared" si="86"/>
        <v>WashcommercialCCEXYD</v>
      </c>
      <c r="C124" s="58" t="s">
        <v>175</v>
      </c>
      <c r="D124" s="58" t="s">
        <v>271</v>
      </c>
      <c r="E124" s="11">
        <v>37.409999999999997</v>
      </c>
      <c r="F124" s="11">
        <v>37.409999999999997</v>
      </c>
      <c r="G124" s="11">
        <v>39.94</v>
      </c>
      <c r="H124" s="55"/>
      <c r="I124" s="14">
        <v>112.23</v>
      </c>
      <c r="J124" s="14">
        <v>112.23</v>
      </c>
      <c r="K124" s="14">
        <v>149.63999999999999</v>
      </c>
      <c r="L124" s="14">
        <v>1178.43</v>
      </c>
      <c r="M124" s="14">
        <v>261.87</v>
      </c>
      <c r="N124" s="14">
        <v>355.41</v>
      </c>
      <c r="O124" s="14">
        <v>0</v>
      </c>
      <c r="P124" s="14">
        <v>56.12</v>
      </c>
      <c r="Q124" s="14">
        <v>187.05</v>
      </c>
      <c r="R124" s="14">
        <v>0</v>
      </c>
      <c r="S124" s="14">
        <v>279.58</v>
      </c>
      <c r="T124" s="14">
        <v>419.37</v>
      </c>
      <c r="U124" s="73">
        <f>SUM(I124:T124)</f>
        <v>3111.93</v>
      </c>
      <c r="W124" s="49">
        <f t="shared" si="70"/>
        <v>3.0000000000000004</v>
      </c>
      <c r="X124" s="49">
        <f t="shared" si="71"/>
        <v>3.0000000000000004</v>
      </c>
      <c r="Y124" s="49">
        <f t="shared" si="72"/>
        <v>4</v>
      </c>
      <c r="Z124" s="49">
        <f t="shared" si="73"/>
        <v>31.500400962309548</v>
      </c>
      <c r="AA124" s="49">
        <f t="shared" si="74"/>
        <v>7.0000000000000009</v>
      </c>
      <c r="AB124" s="49">
        <f t="shared" si="75"/>
        <v>9.5004009623095449</v>
      </c>
      <c r="AC124" s="49">
        <f t="shared" si="76"/>
        <v>0</v>
      </c>
      <c r="AD124" s="49">
        <f t="shared" si="77"/>
        <v>1.5001336541031811</v>
      </c>
      <c r="AE124" s="49">
        <f t="shared" si="78"/>
        <v>5.0000000000000009</v>
      </c>
      <c r="AF124" s="49">
        <f t="shared" si="79"/>
        <v>0</v>
      </c>
      <c r="AG124" s="49">
        <f t="shared" si="80"/>
        <v>7</v>
      </c>
      <c r="AH124" s="49">
        <f t="shared" si="81"/>
        <v>10.5</v>
      </c>
      <c r="AI124" s="47">
        <f t="shared" si="87"/>
        <v>6.8334112982268564</v>
      </c>
      <c r="AJ124" s="134">
        <f t="shared" si="88"/>
        <v>82.000935578722277</v>
      </c>
    </row>
    <row r="125" spans="2:36" s="45" customFormat="1" x14ac:dyDescent="0.2">
      <c r="B125" s="1" t="str">
        <f t="shared" si="86"/>
        <v>WashcommercialWCROL</v>
      </c>
      <c r="C125" s="58" t="s">
        <v>975</v>
      </c>
      <c r="D125" s="58" t="s">
        <v>979</v>
      </c>
      <c r="E125" s="11">
        <v>15.53</v>
      </c>
      <c r="F125" s="11">
        <v>15.53</v>
      </c>
      <c r="G125" s="11">
        <v>16.59</v>
      </c>
      <c r="H125" s="55"/>
      <c r="I125" s="14">
        <v>962.86</v>
      </c>
      <c r="J125" s="14">
        <v>962.86</v>
      </c>
      <c r="K125" s="14">
        <v>962.86</v>
      </c>
      <c r="L125" s="14">
        <v>978.39</v>
      </c>
      <c r="M125" s="14">
        <v>1005.56</v>
      </c>
      <c r="N125" s="14">
        <v>1024.98</v>
      </c>
      <c r="O125" s="14">
        <v>1009.45</v>
      </c>
      <c r="P125" s="14">
        <v>1009.45</v>
      </c>
      <c r="Q125" s="14">
        <v>1009.45</v>
      </c>
      <c r="R125" s="14">
        <v>1078.3499999999999</v>
      </c>
      <c r="S125" s="14">
        <v>1082.1799999999998</v>
      </c>
      <c r="T125" s="14">
        <v>1078.3499999999999</v>
      </c>
      <c r="U125" s="73">
        <f t="shared" si="69"/>
        <v>12164.740000000002</v>
      </c>
      <c r="W125" s="49">
        <f t="shared" si="70"/>
        <v>62</v>
      </c>
      <c r="X125" s="49">
        <f t="shared" si="71"/>
        <v>62</v>
      </c>
      <c r="Y125" s="49">
        <f t="shared" si="72"/>
        <v>62</v>
      </c>
      <c r="Z125" s="49">
        <f t="shared" si="73"/>
        <v>63</v>
      </c>
      <c r="AA125" s="49">
        <f t="shared" si="74"/>
        <v>64.749517063747589</v>
      </c>
      <c r="AB125" s="49">
        <f t="shared" si="75"/>
        <v>66</v>
      </c>
      <c r="AC125" s="49">
        <f t="shared" si="76"/>
        <v>65</v>
      </c>
      <c r="AD125" s="49">
        <f t="shared" si="77"/>
        <v>65</v>
      </c>
      <c r="AE125" s="49">
        <f t="shared" si="78"/>
        <v>65</v>
      </c>
      <c r="AF125" s="49">
        <f t="shared" si="79"/>
        <v>65</v>
      </c>
      <c r="AG125" s="49">
        <f t="shared" si="80"/>
        <v>65.230861965039168</v>
      </c>
      <c r="AH125" s="49">
        <f t="shared" si="81"/>
        <v>65</v>
      </c>
      <c r="AI125" s="47">
        <f t="shared" si="87"/>
        <v>64.165031585732223</v>
      </c>
      <c r="AJ125" s="134">
        <f t="shared" si="88"/>
        <v>769.98037902878673</v>
      </c>
    </row>
    <row r="126" spans="2:36" s="45" customFormat="1" x14ac:dyDescent="0.2">
      <c r="B126" s="1" t="str">
        <f t="shared" si="86"/>
        <v>WashcommercialCC1YTR</v>
      </c>
      <c r="C126" s="58" t="s">
        <v>191</v>
      </c>
      <c r="D126" s="58" t="s">
        <v>287</v>
      </c>
      <c r="E126" s="11">
        <v>56.7</v>
      </c>
      <c r="F126" s="11">
        <v>56.7</v>
      </c>
      <c r="G126" s="11">
        <v>60.6</v>
      </c>
      <c r="H126" s="55"/>
      <c r="I126" s="14">
        <v>42.52</v>
      </c>
      <c r="J126" s="14">
        <v>0</v>
      </c>
      <c r="K126" s="14">
        <v>0</v>
      </c>
      <c r="L126" s="14">
        <v>0</v>
      </c>
      <c r="M126" s="14">
        <v>0</v>
      </c>
      <c r="N126" s="14">
        <v>34.020000000000003</v>
      </c>
      <c r="O126" s="14">
        <v>0</v>
      </c>
      <c r="P126" s="14">
        <v>56.7</v>
      </c>
      <c r="Q126" s="14">
        <v>56.7</v>
      </c>
      <c r="R126" s="14">
        <v>60.6</v>
      </c>
      <c r="S126" s="14">
        <v>60.6</v>
      </c>
      <c r="T126" s="14">
        <v>60.6</v>
      </c>
      <c r="U126" s="73">
        <f t="shared" si="69"/>
        <v>371.74</v>
      </c>
      <c r="W126" s="49">
        <f t="shared" si="70"/>
        <v>0.74991181657848327</v>
      </c>
      <c r="X126" s="49">
        <f t="shared" si="71"/>
        <v>0</v>
      </c>
      <c r="Y126" s="49">
        <f t="shared" si="72"/>
        <v>0</v>
      </c>
      <c r="Z126" s="49">
        <f t="shared" si="73"/>
        <v>0</v>
      </c>
      <c r="AA126" s="49">
        <f t="shared" si="74"/>
        <v>0</v>
      </c>
      <c r="AB126" s="49">
        <f t="shared" si="75"/>
        <v>0.6</v>
      </c>
      <c r="AC126" s="49">
        <f t="shared" si="76"/>
        <v>0</v>
      </c>
      <c r="AD126" s="49">
        <f t="shared" si="77"/>
        <v>1</v>
      </c>
      <c r="AE126" s="49">
        <f t="shared" si="78"/>
        <v>1</v>
      </c>
      <c r="AF126" s="49">
        <f t="shared" si="79"/>
        <v>1</v>
      </c>
      <c r="AG126" s="49">
        <f t="shared" si="80"/>
        <v>1</v>
      </c>
      <c r="AH126" s="49">
        <f t="shared" si="81"/>
        <v>1</v>
      </c>
      <c r="AI126" s="47">
        <f t="shared" si="87"/>
        <v>0.52915931804820693</v>
      </c>
      <c r="AJ126" s="134">
        <f t="shared" si="88"/>
        <v>6.3499118165784836</v>
      </c>
    </row>
    <row r="127" spans="2:36" s="45" customFormat="1" x14ac:dyDescent="0.2">
      <c r="B127" s="1" t="str">
        <f t="shared" si="86"/>
        <v>WashcommercialCC2YTR</v>
      </c>
      <c r="C127" s="58" t="s">
        <v>193</v>
      </c>
      <c r="D127" s="58" t="s">
        <v>289</v>
      </c>
      <c r="E127" s="11">
        <v>56.7</v>
      </c>
      <c r="F127" s="11">
        <v>56.7</v>
      </c>
      <c r="G127" s="11">
        <v>60.6</v>
      </c>
      <c r="H127" s="55"/>
      <c r="I127" s="14">
        <v>0</v>
      </c>
      <c r="J127" s="14">
        <v>0</v>
      </c>
      <c r="K127" s="14">
        <v>5.67</v>
      </c>
      <c r="L127" s="14">
        <v>0</v>
      </c>
      <c r="M127" s="14">
        <v>0</v>
      </c>
      <c r="N127" s="14">
        <v>37.799999999999997</v>
      </c>
      <c r="O127" s="14">
        <v>56.7</v>
      </c>
      <c r="P127" s="14">
        <v>21.74</v>
      </c>
      <c r="Q127" s="14">
        <v>0</v>
      </c>
      <c r="R127" s="14">
        <v>0</v>
      </c>
      <c r="S127" s="14">
        <v>0</v>
      </c>
      <c r="T127" s="14">
        <v>50.5</v>
      </c>
      <c r="U127" s="73">
        <f t="shared" si="69"/>
        <v>172.41</v>
      </c>
      <c r="W127" s="49">
        <f t="shared" si="70"/>
        <v>0</v>
      </c>
      <c r="X127" s="49">
        <f t="shared" si="71"/>
        <v>0</v>
      </c>
      <c r="Y127" s="49">
        <f t="shared" si="72"/>
        <v>9.9999999999999992E-2</v>
      </c>
      <c r="Z127" s="49">
        <f t="shared" si="73"/>
        <v>0</v>
      </c>
      <c r="AA127" s="49">
        <f t="shared" si="74"/>
        <v>0</v>
      </c>
      <c r="AB127" s="49">
        <f t="shared" si="75"/>
        <v>0.66666666666666663</v>
      </c>
      <c r="AC127" s="49">
        <f t="shared" si="76"/>
        <v>1</v>
      </c>
      <c r="AD127" s="49">
        <f t="shared" si="77"/>
        <v>0.38342151675485003</v>
      </c>
      <c r="AE127" s="49">
        <f t="shared" si="78"/>
        <v>0</v>
      </c>
      <c r="AF127" s="49">
        <f t="shared" si="79"/>
        <v>0</v>
      </c>
      <c r="AG127" s="49">
        <f t="shared" si="80"/>
        <v>0</v>
      </c>
      <c r="AH127" s="49">
        <f t="shared" si="81"/>
        <v>0.83333333333333326</v>
      </c>
      <c r="AI127" s="47">
        <f t="shared" si="87"/>
        <v>0.24861845972957078</v>
      </c>
      <c r="AJ127" s="134">
        <f t="shared" si="88"/>
        <v>2.9834215167548495</v>
      </c>
    </row>
    <row r="128" spans="2:36" s="45" customFormat="1" x14ac:dyDescent="0.2">
      <c r="B128" s="1" t="str">
        <f t="shared" si="86"/>
        <v>WashcommercialCC3YTR</v>
      </c>
      <c r="C128" s="58" t="s">
        <v>194</v>
      </c>
      <c r="D128" s="58" t="s">
        <v>290</v>
      </c>
      <c r="E128" s="11">
        <v>56.7</v>
      </c>
      <c r="F128" s="11">
        <v>56.7</v>
      </c>
      <c r="G128" s="11">
        <v>60.6</v>
      </c>
      <c r="H128" s="55"/>
      <c r="I128" s="14">
        <v>113.4</v>
      </c>
      <c r="J128" s="14">
        <v>113.4</v>
      </c>
      <c r="K128" s="14">
        <v>113.4</v>
      </c>
      <c r="L128" s="14">
        <v>113.4</v>
      </c>
      <c r="M128" s="14">
        <v>113.4</v>
      </c>
      <c r="N128" s="14">
        <v>113.4</v>
      </c>
      <c r="O128" s="14">
        <v>113.4</v>
      </c>
      <c r="P128" s="14">
        <v>96.39</v>
      </c>
      <c r="Q128" s="14">
        <v>56.7</v>
      </c>
      <c r="R128" s="14">
        <v>60.6</v>
      </c>
      <c r="S128" s="14">
        <v>56.56</v>
      </c>
      <c r="T128" s="14">
        <v>0</v>
      </c>
      <c r="U128" s="73">
        <f t="shared" si="69"/>
        <v>1064.05</v>
      </c>
      <c r="W128" s="49">
        <f t="shared" si="70"/>
        <v>2</v>
      </c>
      <c r="X128" s="49">
        <f t="shared" si="71"/>
        <v>2</v>
      </c>
      <c r="Y128" s="49">
        <f t="shared" si="72"/>
        <v>2</v>
      </c>
      <c r="Z128" s="49">
        <f t="shared" si="73"/>
        <v>2</v>
      </c>
      <c r="AA128" s="49">
        <f t="shared" si="74"/>
        <v>2</v>
      </c>
      <c r="AB128" s="49">
        <f t="shared" si="75"/>
        <v>2</v>
      </c>
      <c r="AC128" s="49">
        <f t="shared" si="76"/>
        <v>2</v>
      </c>
      <c r="AD128" s="49">
        <f t="shared" si="77"/>
        <v>1.7</v>
      </c>
      <c r="AE128" s="49">
        <f t="shared" si="78"/>
        <v>1</v>
      </c>
      <c r="AF128" s="49">
        <f t="shared" si="79"/>
        <v>1</v>
      </c>
      <c r="AG128" s="49">
        <f t="shared" si="80"/>
        <v>0.93333333333333335</v>
      </c>
      <c r="AH128" s="49">
        <f t="shared" si="81"/>
        <v>0</v>
      </c>
      <c r="AI128" s="47">
        <f t="shared" si="87"/>
        <v>1.5527777777777778</v>
      </c>
      <c r="AJ128" s="134">
        <f t="shared" si="88"/>
        <v>18.633333333333333</v>
      </c>
    </row>
    <row r="129" spans="1:46" s="45" customFormat="1" x14ac:dyDescent="0.2">
      <c r="B129" s="1" t="str">
        <f>"Wash"&amp;"Accounting"&amp;C129</f>
        <v>WashAccountingMM</v>
      </c>
      <c r="C129" s="58" t="s">
        <v>1010</v>
      </c>
      <c r="D129" s="58" t="s">
        <v>1011</v>
      </c>
      <c r="E129" s="55">
        <v>0</v>
      </c>
      <c r="F129" s="55">
        <v>0</v>
      </c>
      <c r="G129" s="55">
        <v>0</v>
      </c>
      <c r="H129" s="55"/>
      <c r="I129" s="14">
        <v>238.34</v>
      </c>
      <c r="J129" s="14">
        <v>0</v>
      </c>
      <c r="K129" s="14">
        <v>42.780000000000008</v>
      </c>
      <c r="L129" s="14">
        <v>26.70999999999998</v>
      </c>
      <c r="M129" s="14">
        <v>11.23</v>
      </c>
      <c r="N129" s="14">
        <v>-5123.8899999999994</v>
      </c>
      <c r="O129" s="14">
        <v>-6.66</v>
      </c>
      <c r="P129" s="14">
        <v>-1384.21</v>
      </c>
      <c r="Q129" s="14">
        <v>2.7100000000000364</v>
      </c>
      <c r="R129" s="14">
        <v>-74.06</v>
      </c>
      <c r="S129" s="14">
        <v>63.73</v>
      </c>
      <c r="T129" s="14">
        <v>10</v>
      </c>
      <c r="U129" s="73">
        <f>SUM(I129:T129)</f>
        <v>-6193.32</v>
      </c>
      <c r="W129" s="48">
        <f t="shared" si="70"/>
        <v>0</v>
      </c>
      <c r="X129" s="48">
        <f t="shared" si="71"/>
        <v>0</v>
      </c>
      <c r="Y129" s="48">
        <f t="shared" si="72"/>
        <v>0</v>
      </c>
      <c r="Z129" s="48">
        <f t="shared" si="73"/>
        <v>0</v>
      </c>
      <c r="AA129" s="48">
        <f t="shared" si="74"/>
        <v>0</v>
      </c>
      <c r="AB129" s="48">
        <f t="shared" si="75"/>
        <v>0</v>
      </c>
      <c r="AC129" s="48">
        <f t="shared" si="76"/>
        <v>0</v>
      </c>
      <c r="AD129" s="48">
        <f t="shared" si="77"/>
        <v>0</v>
      </c>
      <c r="AE129" s="48">
        <f t="shared" si="78"/>
        <v>0</v>
      </c>
      <c r="AF129" s="48">
        <f t="shared" si="79"/>
        <v>0</v>
      </c>
      <c r="AG129" s="48">
        <f t="shared" si="80"/>
        <v>0</v>
      </c>
      <c r="AH129" s="48">
        <f t="shared" si="81"/>
        <v>0</v>
      </c>
      <c r="AI129" s="40"/>
    </row>
    <row r="130" spans="1:46" s="45" customFormat="1" x14ac:dyDescent="0.2">
      <c r="B130" s="1" t="str">
        <f>"Wash"&amp;"Accounting"&amp;C130</f>
        <v>WashAccountingADJ</v>
      </c>
      <c r="C130" s="58" t="s">
        <v>208</v>
      </c>
      <c r="D130" s="58" t="s">
        <v>301</v>
      </c>
      <c r="E130" s="55">
        <v>0</v>
      </c>
      <c r="F130" s="55">
        <v>0</v>
      </c>
      <c r="G130" s="55">
        <v>0</v>
      </c>
      <c r="H130" s="55"/>
      <c r="I130" s="14">
        <v>0</v>
      </c>
      <c r="J130" s="14">
        <v>0</v>
      </c>
      <c r="K130" s="14">
        <v>0</v>
      </c>
      <c r="L130" s="14">
        <v>0</v>
      </c>
      <c r="M130" s="14">
        <v>0</v>
      </c>
      <c r="N130" s="14">
        <v>0</v>
      </c>
      <c r="O130" s="14">
        <v>0</v>
      </c>
      <c r="P130" s="14">
        <v>-17.46</v>
      </c>
      <c r="Q130" s="14">
        <v>-5.24</v>
      </c>
      <c r="R130" s="14">
        <v>0</v>
      </c>
      <c r="S130" s="14">
        <v>0.02</v>
      </c>
      <c r="T130" s="14">
        <v>-28.29</v>
      </c>
      <c r="U130" s="73">
        <f>SUM(I130:T130)</f>
        <v>-50.97</v>
      </c>
      <c r="W130" s="48">
        <f t="shared" si="70"/>
        <v>0</v>
      </c>
      <c r="X130" s="48">
        <f t="shared" si="71"/>
        <v>0</v>
      </c>
      <c r="Y130" s="48">
        <f t="shared" si="72"/>
        <v>0</v>
      </c>
      <c r="Z130" s="48">
        <f t="shared" si="73"/>
        <v>0</v>
      </c>
      <c r="AA130" s="48">
        <f t="shared" si="74"/>
        <v>0</v>
      </c>
      <c r="AB130" s="48">
        <f t="shared" si="75"/>
        <v>0</v>
      </c>
      <c r="AC130" s="48">
        <f t="shared" si="76"/>
        <v>0</v>
      </c>
      <c r="AD130" s="48">
        <f t="shared" si="77"/>
        <v>0</v>
      </c>
      <c r="AE130" s="48">
        <f t="shared" si="78"/>
        <v>0</v>
      </c>
      <c r="AF130" s="48">
        <f t="shared" si="79"/>
        <v>0</v>
      </c>
      <c r="AG130" s="48">
        <f t="shared" si="80"/>
        <v>0</v>
      </c>
      <c r="AH130" s="48">
        <f t="shared" si="81"/>
        <v>0</v>
      </c>
      <c r="AI130" s="40"/>
    </row>
    <row r="131" spans="1:46" s="45" customFormat="1" x14ac:dyDescent="0.2">
      <c r="B131" s="1" t="str">
        <f>"Wash"&amp;"Accounting"&amp;C131</f>
        <v>WashAccountingGWC</v>
      </c>
      <c r="C131" s="58" t="s">
        <v>209</v>
      </c>
      <c r="D131" s="58" t="s">
        <v>302</v>
      </c>
      <c r="E131" s="55">
        <v>0</v>
      </c>
      <c r="F131" s="55">
        <v>0</v>
      </c>
      <c r="G131" s="55">
        <v>0</v>
      </c>
      <c r="H131" s="55"/>
      <c r="I131" s="14">
        <v>-75</v>
      </c>
      <c r="J131" s="14">
        <v>0</v>
      </c>
      <c r="K131" s="14">
        <v>0</v>
      </c>
      <c r="L131" s="14">
        <v>0</v>
      </c>
      <c r="M131" s="14">
        <v>0</v>
      </c>
      <c r="N131" s="14">
        <v>0</v>
      </c>
      <c r="O131" s="14">
        <v>0</v>
      </c>
      <c r="P131" s="14">
        <v>0</v>
      </c>
      <c r="Q131" s="14">
        <v>0</v>
      </c>
      <c r="R131" s="14">
        <v>0</v>
      </c>
      <c r="S131" s="14">
        <v>0</v>
      </c>
      <c r="T131" s="14">
        <v>0</v>
      </c>
      <c r="U131" s="73">
        <f>SUM(I131:T131)</f>
        <v>-75</v>
      </c>
      <c r="W131" s="48">
        <f t="shared" si="70"/>
        <v>0</v>
      </c>
      <c r="X131" s="48">
        <f t="shared" si="71"/>
        <v>0</v>
      </c>
      <c r="Y131" s="48">
        <f t="shared" si="72"/>
        <v>0</v>
      </c>
      <c r="Z131" s="48">
        <f t="shared" si="73"/>
        <v>0</v>
      </c>
      <c r="AA131" s="48">
        <f t="shared" si="74"/>
        <v>0</v>
      </c>
      <c r="AB131" s="48">
        <f t="shared" si="75"/>
        <v>0</v>
      </c>
      <c r="AC131" s="48">
        <f t="shared" si="76"/>
        <v>0</v>
      </c>
      <c r="AD131" s="48">
        <f t="shared" si="77"/>
        <v>0</v>
      </c>
      <c r="AE131" s="48">
        <f t="shared" si="78"/>
        <v>0</v>
      </c>
      <c r="AF131" s="48">
        <f t="shared" si="79"/>
        <v>0</v>
      </c>
      <c r="AG131" s="48">
        <f t="shared" si="80"/>
        <v>0</v>
      </c>
      <c r="AH131" s="48">
        <f t="shared" si="81"/>
        <v>0</v>
      </c>
      <c r="AI131" s="40"/>
    </row>
    <row r="132" spans="1:46" s="45" customFormat="1" x14ac:dyDescent="0.2">
      <c r="B132" s="1" t="str">
        <f t="shared" si="86"/>
        <v>WashcommercialCC4YTR</v>
      </c>
      <c r="C132" s="58" t="s">
        <v>195</v>
      </c>
      <c r="D132" s="58" t="s">
        <v>291</v>
      </c>
      <c r="E132" s="11">
        <v>56.7</v>
      </c>
      <c r="F132" s="11">
        <v>56.7</v>
      </c>
      <c r="G132" s="11">
        <v>60.6</v>
      </c>
      <c r="H132" s="55"/>
      <c r="I132" s="14">
        <v>60.48</v>
      </c>
      <c r="J132" s="14">
        <v>56.7</v>
      </c>
      <c r="K132" s="14">
        <v>56.7</v>
      </c>
      <c r="L132" s="14">
        <v>56.7</v>
      </c>
      <c r="M132" s="14">
        <v>56.7</v>
      </c>
      <c r="N132" s="14">
        <v>56.7</v>
      </c>
      <c r="O132" s="14">
        <v>56.7</v>
      </c>
      <c r="P132" s="14">
        <v>56.7</v>
      </c>
      <c r="Q132" s="14">
        <v>56.7</v>
      </c>
      <c r="R132" s="14">
        <v>60.6</v>
      </c>
      <c r="S132" s="14">
        <v>60.6</v>
      </c>
      <c r="T132" s="14">
        <v>60.6</v>
      </c>
      <c r="U132" s="73">
        <f t="shared" si="69"/>
        <v>695.88</v>
      </c>
      <c r="W132" s="49">
        <f t="shared" si="70"/>
        <v>1.0666666666666667</v>
      </c>
      <c r="X132" s="49">
        <f t="shared" si="71"/>
        <v>1</v>
      </c>
      <c r="Y132" s="49">
        <f t="shared" si="72"/>
        <v>1</v>
      </c>
      <c r="Z132" s="49">
        <f t="shared" si="73"/>
        <v>1</v>
      </c>
      <c r="AA132" s="49">
        <f t="shared" si="74"/>
        <v>1</v>
      </c>
      <c r="AB132" s="49">
        <f t="shared" si="75"/>
        <v>1</v>
      </c>
      <c r="AC132" s="49">
        <f t="shared" si="76"/>
        <v>1</v>
      </c>
      <c r="AD132" s="49">
        <f t="shared" si="77"/>
        <v>1</v>
      </c>
      <c r="AE132" s="49">
        <f t="shared" si="78"/>
        <v>1</v>
      </c>
      <c r="AF132" s="49">
        <f t="shared" si="79"/>
        <v>1</v>
      </c>
      <c r="AG132" s="49">
        <f t="shared" si="80"/>
        <v>1</v>
      </c>
      <c r="AH132" s="49">
        <f t="shared" si="81"/>
        <v>1</v>
      </c>
      <c r="AI132" s="47">
        <f t="shared" si="87"/>
        <v>1.0055555555555555</v>
      </c>
      <c r="AJ132" s="134">
        <f t="shared" si="88"/>
        <v>12.066666666666666</v>
      </c>
    </row>
    <row r="133" spans="1:46" s="45" customFormat="1" x14ac:dyDescent="0.2">
      <c r="B133" s="1" t="str">
        <f t="shared" si="86"/>
        <v>WashcommercialCC6YTR</v>
      </c>
      <c r="C133" s="58" t="s">
        <v>196</v>
      </c>
      <c r="D133" s="58" t="s">
        <v>292</v>
      </c>
      <c r="E133" s="11">
        <v>56.7</v>
      </c>
      <c r="F133" s="11">
        <v>56.7</v>
      </c>
      <c r="G133" s="11">
        <v>60.6</v>
      </c>
      <c r="H133" s="55"/>
      <c r="I133" s="14">
        <v>0</v>
      </c>
      <c r="J133" s="14">
        <v>0</v>
      </c>
      <c r="K133" s="14">
        <v>0</v>
      </c>
      <c r="L133" s="14">
        <v>0</v>
      </c>
      <c r="M133" s="14">
        <v>0</v>
      </c>
      <c r="N133" s="14">
        <v>0</v>
      </c>
      <c r="O133" s="14">
        <v>0</v>
      </c>
      <c r="P133" s="14">
        <v>0</v>
      </c>
      <c r="Q133" s="14">
        <v>0</v>
      </c>
      <c r="R133" s="14">
        <v>0</v>
      </c>
      <c r="S133" s="14">
        <v>0</v>
      </c>
      <c r="T133" s="14">
        <v>0</v>
      </c>
      <c r="U133" s="73">
        <f t="shared" si="69"/>
        <v>0</v>
      </c>
      <c r="W133" s="49">
        <f t="shared" si="70"/>
        <v>0</v>
      </c>
      <c r="X133" s="49">
        <f t="shared" si="71"/>
        <v>0</v>
      </c>
      <c r="Y133" s="49">
        <f t="shared" si="72"/>
        <v>0</v>
      </c>
      <c r="Z133" s="49">
        <f t="shared" si="73"/>
        <v>0</v>
      </c>
      <c r="AA133" s="49">
        <f t="shared" si="74"/>
        <v>0</v>
      </c>
      <c r="AB133" s="49">
        <f t="shared" si="75"/>
        <v>0</v>
      </c>
      <c r="AC133" s="49">
        <f t="shared" si="76"/>
        <v>0</v>
      </c>
      <c r="AD133" s="49">
        <f t="shared" si="77"/>
        <v>0</v>
      </c>
      <c r="AE133" s="49">
        <f t="shared" si="78"/>
        <v>0</v>
      </c>
      <c r="AF133" s="49">
        <f t="shared" si="79"/>
        <v>0</v>
      </c>
      <c r="AG133" s="49">
        <f t="shared" si="80"/>
        <v>0</v>
      </c>
      <c r="AH133" s="49">
        <f t="shared" si="81"/>
        <v>0</v>
      </c>
      <c r="AI133" s="47">
        <f t="shared" si="87"/>
        <v>0</v>
      </c>
      <c r="AJ133" s="134">
        <f t="shared" si="88"/>
        <v>0</v>
      </c>
    </row>
    <row r="134" spans="1:46" s="45" customFormat="1" x14ac:dyDescent="0.2">
      <c r="B134" s="1" t="str">
        <f>"Wash"&amp;"commercial"&amp;C134</f>
        <v>WashcommercialCC2YOC</v>
      </c>
      <c r="C134" s="58" t="s">
        <v>189</v>
      </c>
      <c r="D134" s="58" t="s">
        <v>285</v>
      </c>
      <c r="E134" s="11">
        <v>56.7</v>
      </c>
      <c r="F134" s="11">
        <v>56.7</v>
      </c>
      <c r="G134" s="11">
        <v>60.6</v>
      </c>
      <c r="H134" s="55"/>
      <c r="I134" s="14">
        <v>0</v>
      </c>
      <c r="J134" s="14">
        <v>0</v>
      </c>
      <c r="K134" s="14">
        <v>0</v>
      </c>
      <c r="L134" s="14">
        <v>0</v>
      </c>
      <c r="M134" s="14">
        <v>0</v>
      </c>
      <c r="N134" s="14">
        <v>0</v>
      </c>
      <c r="O134" s="14">
        <v>0</v>
      </c>
      <c r="P134" s="14">
        <v>0</v>
      </c>
      <c r="Q134" s="14">
        <v>0</v>
      </c>
      <c r="R134" s="14">
        <v>0</v>
      </c>
      <c r="S134" s="14">
        <v>0</v>
      </c>
      <c r="T134" s="14">
        <v>0</v>
      </c>
      <c r="U134" s="73">
        <f t="shared" si="69"/>
        <v>0</v>
      </c>
      <c r="W134" s="49">
        <f t="shared" si="70"/>
        <v>0</v>
      </c>
      <c r="X134" s="49">
        <f t="shared" si="71"/>
        <v>0</v>
      </c>
      <c r="Y134" s="49">
        <f t="shared" si="72"/>
        <v>0</v>
      </c>
      <c r="Z134" s="49">
        <f t="shared" si="73"/>
        <v>0</v>
      </c>
      <c r="AA134" s="49">
        <f t="shared" si="74"/>
        <v>0</v>
      </c>
      <c r="AB134" s="49">
        <f t="shared" si="75"/>
        <v>0</v>
      </c>
      <c r="AC134" s="49">
        <f t="shared" si="76"/>
        <v>0</v>
      </c>
      <c r="AD134" s="49">
        <f t="shared" si="77"/>
        <v>0</v>
      </c>
      <c r="AE134" s="49">
        <f t="shared" si="78"/>
        <v>0</v>
      </c>
      <c r="AF134" s="49">
        <f t="shared" si="79"/>
        <v>0</v>
      </c>
      <c r="AG134" s="49">
        <f t="shared" si="80"/>
        <v>0</v>
      </c>
      <c r="AH134" s="49">
        <f t="shared" si="81"/>
        <v>0</v>
      </c>
      <c r="AI134" s="47">
        <f t="shared" si="87"/>
        <v>0</v>
      </c>
      <c r="AJ134" s="134">
        <f t="shared" si="88"/>
        <v>0</v>
      </c>
    </row>
    <row r="135" spans="1:46" s="45" customFormat="1" x14ac:dyDescent="0.2">
      <c r="B135" s="1" t="str">
        <f>"Wash"&amp;"commercial"&amp;C135</f>
        <v>WashcommercialVEXBIN</v>
      </c>
      <c r="C135" s="58" t="s">
        <v>845</v>
      </c>
      <c r="D135" s="58" t="s">
        <v>873</v>
      </c>
      <c r="E135" s="11">
        <v>103.6</v>
      </c>
      <c r="F135" s="11">
        <v>103.6</v>
      </c>
      <c r="G135" s="11">
        <v>103.6</v>
      </c>
      <c r="H135" s="55"/>
      <c r="I135" s="14">
        <v>0</v>
      </c>
      <c r="J135" s="14">
        <v>0</v>
      </c>
      <c r="K135" s="14">
        <v>103.6</v>
      </c>
      <c r="L135" s="14">
        <v>0</v>
      </c>
      <c r="M135" s="14">
        <v>0</v>
      </c>
      <c r="N135" s="14">
        <v>0</v>
      </c>
      <c r="O135" s="14">
        <v>0</v>
      </c>
      <c r="P135" s="14">
        <v>0</v>
      </c>
      <c r="Q135" s="14">
        <v>0</v>
      </c>
      <c r="R135" s="14">
        <v>0</v>
      </c>
      <c r="S135" s="14">
        <v>0</v>
      </c>
      <c r="T135" s="14">
        <v>0</v>
      </c>
      <c r="U135" s="73">
        <f>SUM(I135:T135)</f>
        <v>103.6</v>
      </c>
      <c r="W135" s="49">
        <f t="shared" si="70"/>
        <v>0</v>
      </c>
      <c r="X135" s="49">
        <f t="shared" si="71"/>
        <v>0</v>
      </c>
      <c r="Y135" s="49">
        <f t="shared" si="72"/>
        <v>1</v>
      </c>
      <c r="Z135" s="49">
        <f t="shared" si="73"/>
        <v>0</v>
      </c>
      <c r="AA135" s="49">
        <f t="shared" si="74"/>
        <v>0</v>
      </c>
      <c r="AB135" s="49">
        <f t="shared" si="75"/>
        <v>0</v>
      </c>
      <c r="AC135" s="49">
        <f t="shared" si="76"/>
        <v>0</v>
      </c>
      <c r="AD135" s="49">
        <f t="shared" si="77"/>
        <v>0</v>
      </c>
      <c r="AE135" s="49">
        <f t="shared" si="78"/>
        <v>0</v>
      </c>
      <c r="AF135" s="49">
        <f t="shared" si="79"/>
        <v>0</v>
      </c>
      <c r="AG135" s="49">
        <f t="shared" si="80"/>
        <v>0</v>
      </c>
      <c r="AH135" s="49">
        <f t="shared" si="81"/>
        <v>0</v>
      </c>
      <c r="AI135" s="47">
        <f>+IFERROR(AVERAGE(W135:AH135),0)</f>
        <v>8.3333333333333329E-2</v>
      </c>
      <c r="AJ135" s="134">
        <f>SUM(W135:AH135)</f>
        <v>1</v>
      </c>
    </row>
    <row r="136" spans="1:46" s="45" customFormat="1" x14ac:dyDescent="0.2">
      <c r="B136" s="1" t="str">
        <f>"Wash"&amp;"commercial"&amp;C136</f>
        <v>WashcommercialCTIME1M</v>
      </c>
      <c r="C136" s="58" t="s">
        <v>197</v>
      </c>
      <c r="D136" s="58" t="s">
        <v>102</v>
      </c>
      <c r="E136" s="11">
        <v>1.97</v>
      </c>
      <c r="F136" s="11">
        <v>1.97</v>
      </c>
      <c r="G136" s="11">
        <v>2.09</v>
      </c>
      <c r="H136" s="55"/>
      <c r="I136" s="14">
        <v>0</v>
      </c>
      <c r="J136" s="14">
        <v>29.55</v>
      </c>
      <c r="K136" s="14">
        <v>29.55</v>
      </c>
      <c r="L136" s="14">
        <v>0</v>
      </c>
      <c r="M136" s="14">
        <v>0</v>
      </c>
      <c r="N136" s="14">
        <v>0</v>
      </c>
      <c r="O136" s="14">
        <v>59.1</v>
      </c>
      <c r="P136" s="14">
        <v>0</v>
      </c>
      <c r="Q136" s="14">
        <v>0</v>
      </c>
      <c r="R136" s="14">
        <v>0</v>
      </c>
      <c r="S136" s="14">
        <v>0</v>
      </c>
      <c r="T136" s="14">
        <v>0</v>
      </c>
      <c r="U136" s="73">
        <f t="shared" si="69"/>
        <v>118.2</v>
      </c>
      <c r="W136" s="49">
        <f t="shared" si="70"/>
        <v>0</v>
      </c>
      <c r="X136" s="49">
        <f t="shared" si="71"/>
        <v>15</v>
      </c>
      <c r="Y136" s="49">
        <f t="shared" si="72"/>
        <v>15</v>
      </c>
      <c r="Z136" s="49">
        <f t="shared" si="73"/>
        <v>0</v>
      </c>
      <c r="AA136" s="49">
        <f t="shared" si="74"/>
        <v>0</v>
      </c>
      <c r="AB136" s="49">
        <f t="shared" si="75"/>
        <v>0</v>
      </c>
      <c r="AC136" s="49">
        <f t="shared" si="76"/>
        <v>30</v>
      </c>
      <c r="AD136" s="49">
        <f t="shared" si="77"/>
        <v>0</v>
      </c>
      <c r="AE136" s="49">
        <f t="shared" si="78"/>
        <v>0</v>
      </c>
      <c r="AF136" s="49">
        <f t="shared" si="79"/>
        <v>0</v>
      </c>
      <c r="AG136" s="49">
        <f t="shared" si="80"/>
        <v>0</v>
      </c>
      <c r="AH136" s="49">
        <f t="shared" si="81"/>
        <v>0</v>
      </c>
      <c r="AI136" s="47">
        <f t="shared" si="87"/>
        <v>5</v>
      </c>
      <c r="AJ136" s="134">
        <f t="shared" si="88"/>
        <v>60</v>
      </c>
    </row>
    <row r="137" spans="1:46" s="45" customFormat="1" x14ac:dyDescent="0.2">
      <c r="B137" s="1" t="str">
        <f t="shared" si="86"/>
        <v>WashcommercialCCTRIP</v>
      </c>
      <c r="C137" s="58" t="s">
        <v>199</v>
      </c>
      <c r="D137" s="58" t="s">
        <v>293</v>
      </c>
      <c r="E137" s="11">
        <v>46.13</v>
      </c>
      <c r="F137" s="11">
        <v>46.13</v>
      </c>
      <c r="G137" s="11">
        <v>49.25</v>
      </c>
      <c r="H137" s="55"/>
      <c r="I137" s="14">
        <v>0</v>
      </c>
      <c r="J137" s="14">
        <v>0</v>
      </c>
      <c r="K137" s="14">
        <v>184.52</v>
      </c>
      <c r="L137" s="14">
        <v>46.13</v>
      </c>
      <c r="M137" s="14">
        <v>0</v>
      </c>
      <c r="N137" s="14">
        <v>46.13</v>
      </c>
      <c r="O137" s="14">
        <v>92.26</v>
      </c>
      <c r="P137" s="14">
        <v>92.26</v>
      </c>
      <c r="Q137" s="14">
        <v>92.26</v>
      </c>
      <c r="R137" s="14">
        <v>49.25</v>
      </c>
      <c r="S137" s="14">
        <v>49.25</v>
      </c>
      <c r="T137" s="14">
        <v>0</v>
      </c>
      <c r="U137" s="73">
        <f t="shared" si="69"/>
        <v>652.06000000000006</v>
      </c>
      <c r="W137" s="49">
        <f t="shared" si="70"/>
        <v>0</v>
      </c>
      <c r="X137" s="49">
        <f t="shared" si="71"/>
        <v>0</v>
      </c>
      <c r="Y137" s="49">
        <f t="shared" si="72"/>
        <v>4</v>
      </c>
      <c r="Z137" s="49">
        <f t="shared" si="73"/>
        <v>1</v>
      </c>
      <c r="AA137" s="49">
        <f t="shared" si="74"/>
        <v>0</v>
      </c>
      <c r="AB137" s="49">
        <f t="shared" si="75"/>
        <v>1</v>
      </c>
      <c r="AC137" s="49">
        <f t="shared" si="76"/>
        <v>2</v>
      </c>
      <c r="AD137" s="49">
        <f t="shared" si="77"/>
        <v>2</v>
      </c>
      <c r="AE137" s="49">
        <f t="shared" si="78"/>
        <v>2</v>
      </c>
      <c r="AF137" s="49">
        <f t="shared" si="79"/>
        <v>1</v>
      </c>
      <c r="AG137" s="49">
        <f t="shared" si="80"/>
        <v>1</v>
      </c>
      <c r="AH137" s="49">
        <f t="shared" si="81"/>
        <v>0</v>
      </c>
      <c r="AI137" s="47">
        <f t="shared" si="87"/>
        <v>1.1666666666666667</v>
      </c>
      <c r="AJ137" s="134">
        <f t="shared" si="88"/>
        <v>14</v>
      </c>
    </row>
    <row r="138" spans="1:46" s="45" customFormat="1" x14ac:dyDescent="0.2">
      <c r="B138" s="1" t="str">
        <f t="shared" si="86"/>
        <v>WashcommercialCWSAN 1-5</v>
      </c>
      <c r="C138" s="58" t="s">
        <v>203</v>
      </c>
      <c r="D138" s="58" t="s">
        <v>296</v>
      </c>
      <c r="E138" s="11">
        <v>39.18</v>
      </c>
      <c r="F138" s="11">
        <v>39.18</v>
      </c>
      <c r="G138" s="11">
        <v>41.84</v>
      </c>
      <c r="H138" s="55"/>
      <c r="I138" s="14">
        <v>0</v>
      </c>
      <c r="J138" s="14">
        <v>0</v>
      </c>
      <c r="K138" s="14">
        <v>0</v>
      </c>
      <c r="L138" s="14">
        <v>0</v>
      </c>
      <c r="M138" s="14">
        <v>0</v>
      </c>
      <c r="N138" s="14">
        <v>0</v>
      </c>
      <c r="O138" s="14">
        <v>0</v>
      </c>
      <c r="P138" s="14">
        <v>0</v>
      </c>
      <c r="Q138" s="14">
        <v>0</v>
      </c>
      <c r="R138" s="14">
        <v>0</v>
      </c>
      <c r="S138" s="14">
        <v>0</v>
      </c>
      <c r="T138" s="14">
        <v>0</v>
      </c>
      <c r="U138" s="73">
        <f t="shared" si="69"/>
        <v>0</v>
      </c>
      <c r="W138" s="49">
        <f t="shared" si="70"/>
        <v>0</v>
      </c>
      <c r="X138" s="49">
        <f t="shared" si="71"/>
        <v>0</v>
      </c>
      <c r="Y138" s="49">
        <f t="shared" si="72"/>
        <v>0</v>
      </c>
      <c r="Z138" s="49">
        <f t="shared" si="73"/>
        <v>0</v>
      </c>
      <c r="AA138" s="49">
        <f t="shared" si="74"/>
        <v>0</v>
      </c>
      <c r="AB138" s="49">
        <f t="shared" si="75"/>
        <v>0</v>
      </c>
      <c r="AC138" s="49">
        <f t="shared" si="76"/>
        <v>0</v>
      </c>
      <c r="AD138" s="49">
        <f t="shared" si="77"/>
        <v>0</v>
      </c>
      <c r="AE138" s="49">
        <f t="shared" si="78"/>
        <v>0</v>
      </c>
      <c r="AF138" s="49">
        <f t="shared" si="79"/>
        <v>0</v>
      </c>
      <c r="AG138" s="49">
        <f t="shared" si="80"/>
        <v>0</v>
      </c>
      <c r="AH138" s="49">
        <f t="shared" si="81"/>
        <v>0</v>
      </c>
      <c r="AI138" s="47">
        <f t="shared" si="87"/>
        <v>0</v>
      </c>
      <c r="AJ138" s="134">
        <f t="shared" si="88"/>
        <v>0</v>
      </c>
    </row>
    <row r="139" spans="1:46" s="45" customFormat="1" x14ac:dyDescent="0.2">
      <c r="C139" s="61"/>
      <c r="D139" s="58"/>
      <c r="E139" s="55"/>
      <c r="F139" s="55"/>
      <c r="G139" s="55"/>
      <c r="H139" s="55"/>
      <c r="I139" s="46"/>
      <c r="J139" s="49"/>
      <c r="K139" s="49"/>
      <c r="L139" s="48"/>
      <c r="M139" s="48"/>
      <c r="N139" s="48"/>
      <c r="O139" s="48"/>
      <c r="P139" s="48"/>
      <c r="Q139" s="48"/>
      <c r="R139" s="48"/>
      <c r="S139" s="49"/>
      <c r="T139" s="49"/>
      <c r="U139" s="73"/>
      <c r="W139" s="49">
        <f t="shared" si="70"/>
        <v>0</v>
      </c>
      <c r="X139" s="49">
        <f t="shared" si="71"/>
        <v>0</v>
      </c>
      <c r="Y139" s="49">
        <f t="shared" si="72"/>
        <v>0</v>
      </c>
      <c r="Z139" s="49">
        <f t="shared" si="73"/>
        <v>0</v>
      </c>
      <c r="AA139" s="49">
        <f t="shared" si="74"/>
        <v>0</v>
      </c>
      <c r="AB139" s="49">
        <f t="shared" si="75"/>
        <v>0</v>
      </c>
      <c r="AC139" s="49">
        <f t="shared" si="76"/>
        <v>0</v>
      </c>
      <c r="AD139" s="49">
        <f t="shared" si="77"/>
        <v>0</v>
      </c>
      <c r="AE139" s="49">
        <f t="shared" si="78"/>
        <v>0</v>
      </c>
      <c r="AF139" s="49">
        <f t="shared" si="79"/>
        <v>0</v>
      </c>
      <c r="AG139" s="49">
        <f t="shared" si="80"/>
        <v>0</v>
      </c>
      <c r="AH139" s="49">
        <f t="shared" si="81"/>
        <v>0</v>
      </c>
      <c r="AI139" s="40"/>
      <c r="AJ139" s="134">
        <f>SUM(W139:AH139)</f>
        <v>0</v>
      </c>
    </row>
    <row r="140" spans="1:46" s="45" customFormat="1" x14ac:dyDescent="0.2">
      <c r="C140" s="60"/>
      <c r="D140" s="52" t="s">
        <v>11</v>
      </c>
      <c r="E140" s="55"/>
      <c r="F140" s="55"/>
      <c r="G140" s="55"/>
      <c r="H140" s="55"/>
      <c r="I140" s="97">
        <f t="shared" ref="I140:U140" si="90">SUM(I85:I139)</f>
        <v>69216.37999999999</v>
      </c>
      <c r="J140" s="97">
        <f t="shared" si="90"/>
        <v>69004.639999999999</v>
      </c>
      <c r="K140" s="97">
        <f t="shared" si="90"/>
        <v>69947.48000000001</v>
      </c>
      <c r="L140" s="97">
        <f t="shared" si="90"/>
        <v>70357.080000000016</v>
      </c>
      <c r="M140" s="97">
        <f t="shared" si="90"/>
        <v>69981.789999999979</v>
      </c>
      <c r="N140" s="97">
        <f t="shared" si="90"/>
        <v>65766.390000000014</v>
      </c>
      <c r="O140" s="97">
        <f t="shared" si="90"/>
        <v>70307.15999999996</v>
      </c>
      <c r="P140" s="97">
        <f t="shared" si="90"/>
        <v>68016.429999999964</v>
      </c>
      <c r="Q140" s="97">
        <f t="shared" si="90"/>
        <v>68864.840000000026</v>
      </c>
      <c r="R140" s="97">
        <f t="shared" si="90"/>
        <v>72408.410000000033</v>
      </c>
      <c r="S140" s="97">
        <f t="shared" si="90"/>
        <v>72995.330000000016</v>
      </c>
      <c r="T140" s="97">
        <f t="shared" si="90"/>
        <v>73368.980000000025</v>
      </c>
      <c r="U140" s="97">
        <f t="shared" si="90"/>
        <v>840234.91000000027</v>
      </c>
      <c r="V140" s="100"/>
      <c r="W140" s="185">
        <f t="shared" si="70"/>
        <v>0</v>
      </c>
      <c r="X140" s="185">
        <f t="shared" si="71"/>
        <v>0</v>
      </c>
      <c r="Y140" s="185">
        <f t="shared" si="72"/>
        <v>0</v>
      </c>
      <c r="Z140" s="185">
        <f t="shared" si="73"/>
        <v>0</v>
      </c>
      <c r="AA140" s="185">
        <f t="shared" si="74"/>
        <v>0</v>
      </c>
      <c r="AB140" s="185">
        <f t="shared" si="75"/>
        <v>0</v>
      </c>
      <c r="AC140" s="185">
        <f t="shared" si="76"/>
        <v>0</v>
      </c>
      <c r="AD140" s="185">
        <f t="shared" si="77"/>
        <v>0</v>
      </c>
      <c r="AE140" s="185">
        <f t="shared" si="78"/>
        <v>0</v>
      </c>
      <c r="AF140" s="185">
        <f t="shared" si="79"/>
        <v>0</v>
      </c>
      <c r="AG140" s="185">
        <f t="shared" si="80"/>
        <v>0</v>
      </c>
      <c r="AH140" s="185">
        <f t="shared" si="81"/>
        <v>0</v>
      </c>
      <c r="AI140" s="185">
        <f>SUM(AI85:AI112)</f>
        <v>279.39035685186718</v>
      </c>
      <c r="AJ140" s="185">
        <f>SUM(AJ85:AJ116,AJ122:AJ124)</f>
        <v>3566.6329860822311</v>
      </c>
      <c r="AN140" s="186">
        <f>SUM(AN85:AN112)</f>
        <v>130.72896473856341</v>
      </c>
      <c r="AP140" s="186">
        <f>SUM(AP85:AP112)</f>
        <v>148.6613921133038</v>
      </c>
      <c r="AR140" s="186">
        <f>SUM(AR85:AR112)</f>
        <v>0</v>
      </c>
      <c r="AT140" s="186">
        <f>SUM(AT85:AT112)</f>
        <v>0</v>
      </c>
    </row>
    <row r="141" spans="1:46" s="45" customFormat="1" x14ac:dyDescent="0.2">
      <c r="C141" s="60"/>
      <c r="D141" s="60"/>
      <c r="E141" s="55"/>
      <c r="F141" s="55"/>
      <c r="G141" s="55"/>
      <c r="H141" s="55"/>
      <c r="I141" s="46"/>
      <c r="J141" s="49"/>
      <c r="K141" s="49"/>
      <c r="L141" s="48"/>
      <c r="M141" s="48"/>
      <c r="N141" s="48"/>
      <c r="O141" s="48"/>
      <c r="P141" s="48"/>
      <c r="Q141" s="48"/>
      <c r="R141" s="48"/>
      <c r="S141" s="49"/>
      <c r="T141" s="49"/>
      <c r="U141" s="73"/>
      <c r="W141" s="45">
        <f t="shared" si="70"/>
        <v>0</v>
      </c>
      <c r="X141" s="45">
        <f t="shared" si="71"/>
        <v>0</v>
      </c>
      <c r="Y141" s="45">
        <f t="shared" si="72"/>
        <v>0</v>
      </c>
      <c r="Z141" s="45">
        <f t="shared" si="73"/>
        <v>0</v>
      </c>
      <c r="AA141" s="45">
        <f t="shared" si="74"/>
        <v>0</v>
      </c>
      <c r="AB141" s="45">
        <f t="shared" si="75"/>
        <v>0</v>
      </c>
      <c r="AC141" s="45">
        <f t="shared" si="76"/>
        <v>0</v>
      </c>
      <c r="AD141" s="45">
        <f t="shared" si="77"/>
        <v>0</v>
      </c>
      <c r="AE141" s="45">
        <f t="shared" si="78"/>
        <v>0</v>
      </c>
      <c r="AF141" s="45">
        <f t="shared" si="79"/>
        <v>0</v>
      </c>
      <c r="AG141" s="45">
        <f t="shared" si="80"/>
        <v>0</v>
      </c>
      <c r="AH141" s="45">
        <f t="shared" si="81"/>
        <v>0</v>
      </c>
      <c r="AI141" s="40"/>
      <c r="AJ141" s="134">
        <f>SUM(W141:AH141)</f>
        <v>0</v>
      </c>
    </row>
    <row r="142" spans="1:46" x14ac:dyDescent="0.2">
      <c r="C142" s="42" t="s">
        <v>12</v>
      </c>
      <c r="D142" s="42" t="s">
        <v>12</v>
      </c>
      <c r="W142" s="40">
        <f t="shared" si="70"/>
        <v>0</v>
      </c>
      <c r="X142" s="40">
        <f t="shared" si="71"/>
        <v>0</v>
      </c>
      <c r="Y142" s="40">
        <f t="shared" si="72"/>
        <v>0</v>
      </c>
      <c r="Z142" s="40">
        <f t="shared" si="73"/>
        <v>0</v>
      </c>
      <c r="AA142" s="40">
        <f t="shared" si="74"/>
        <v>0</v>
      </c>
      <c r="AB142" s="40">
        <f t="shared" si="75"/>
        <v>0</v>
      </c>
      <c r="AC142" s="40">
        <f t="shared" si="76"/>
        <v>0</v>
      </c>
      <c r="AD142" s="40">
        <f t="shared" si="77"/>
        <v>0</v>
      </c>
      <c r="AE142" s="40">
        <f t="shared" si="78"/>
        <v>0</v>
      </c>
      <c r="AF142" s="40">
        <f t="shared" si="79"/>
        <v>0</v>
      </c>
      <c r="AG142" s="40">
        <f t="shared" si="80"/>
        <v>0</v>
      </c>
      <c r="AH142" s="40">
        <f t="shared" si="81"/>
        <v>0</v>
      </c>
      <c r="AK142" s="45"/>
    </row>
    <row r="143" spans="1:46" s="274" customFormat="1" x14ac:dyDescent="0.2">
      <c r="A143" s="274" t="str">
        <f t="shared" ref="A143:A188" si="91">"all"&amp;"recycling"&amp;C143</f>
        <v>allrecyclingCRY1Y1X</v>
      </c>
      <c r="B143" s="241" t="str">
        <f t="shared" ref="B143:B188" si="92">"Wash"&amp;"recycling"&amp;C143</f>
        <v>WashrecyclingCRY1Y1X</v>
      </c>
      <c r="C143" s="232" t="s">
        <v>457</v>
      </c>
      <c r="D143" s="232" t="s">
        <v>540</v>
      </c>
      <c r="E143" s="238">
        <v>122.18</v>
      </c>
      <c r="F143" s="238">
        <v>128.29</v>
      </c>
      <c r="G143" s="238">
        <v>128.29</v>
      </c>
      <c r="I143" s="243">
        <v>1516.14</v>
      </c>
      <c r="J143" s="243">
        <v>1638.32</v>
      </c>
      <c r="K143" s="243">
        <v>1699.41</v>
      </c>
      <c r="L143" s="243">
        <v>1912.68</v>
      </c>
      <c r="M143" s="243">
        <v>1912.68</v>
      </c>
      <c r="N143" s="243">
        <v>2040.97</v>
      </c>
      <c r="O143" s="243">
        <v>1912.68</v>
      </c>
      <c r="P143" s="243">
        <v>1848.54</v>
      </c>
      <c r="Q143" s="243">
        <v>1688.17</v>
      </c>
      <c r="R143" s="243">
        <v>1656.1</v>
      </c>
      <c r="S143" s="243">
        <v>1667.77</v>
      </c>
      <c r="T143" s="243">
        <v>1731.92</v>
      </c>
      <c r="U143" s="263">
        <f t="shared" ref="U143:U188" si="93">SUM(I143:T143)</f>
        <v>21225.379999999997</v>
      </c>
      <c r="W143" s="264">
        <f t="shared" si="70"/>
        <v>12.409068587330168</v>
      </c>
      <c r="X143" s="264">
        <f t="shared" si="71"/>
        <v>13.409068587330168</v>
      </c>
      <c r="Y143" s="264">
        <f t="shared" si="72"/>
        <v>13.909068587330168</v>
      </c>
      <c r="Z143" s="264">
        <f t="shared" si="73"/>
        <v>14.909034219346793</v>
      </c>
      <c r="AA143" s="264">
        <f t="shared" si="74"/>
        <v>14.909034219346793</v>
      </c>
      <c r="AB143" s="264">
        <f t="shared" si="75"/>
        <v>15.909034219346793</v>
      </c>
      <c r="AC143" s="264">
        <f t="shared" si="76"/>
        <v>14.909034219346793</v>
      </c>
      <c r="AD143" s="264">
        <f t="shared" si="77"/>
        <v>14.409073193545874</v>
      </c>
      <c r="AE143" s="264">
        <f t="shared" si="78"/>
        <v>13.159014732247254</v>
      </c>
      <c r="AF143" s="264">
        <f t="shared" si="79"/>
        <v>12.909034219346793</v>
      </c>
      <c r="AG143" s="264">
        <f t="shared" si="80"/>
        <v>13</v>
      </c>
      <c r="AH143" s="264">
        <f t="shared" si="81"/>
        <v>13.500038974199082</v>
      </c>
      <c r="AI143" s="265">
        <f t="shared" ref="AI143:AI188" si="94">+IFERROR(AVERAGE(W143:AH143),0)</f>
        <v>13.945041979893057</v>
      </c>
      <c r="AJ143" s="266">
        <f t="shared" ref="AJ143:AJ188" si="95">SUM(W143:AH143)</f>
        <v>167.34050375871669</v>
      </c>
      <c r="AK143" s="253"/>
      <c r="AM143" s="241">
        <v>0</v>
      </c>
      <c r="AN143" s="240">
        <f t="shared" ref="AN143:AN164" si="96">+$AI143*AM143</f>
        <v>0</v>
      </c>
      <c r="AO143" s="241">
        <v>1</v>
      </c>
      <c r="AP143" s="240">
        <f t="shared" ref="AP143:AP164" si="97">+$AI143*AO143</f>
        <v>13.945041979893057</v>
      </c>
      <c r="AQ143" s="241">
        <v>0</v>
      </c>
      <c r="AR143" s="240">
        <f t="shared" ref="AR143:AR164" si="98">+$AI143*AQ143</f>
        <v>0</v>
      </c>
      <c r="AS143" s="241">
        <v>0</v>
      </c>
      <c r="AT143" s="240">
        <f t="shared" ref="AT143:AT164" si="99">+$AI143*AS143</f>
        <v>0</v>
      </c>
    </row>
    <row r="144" spans="1:46" s="274" customFormat="1" x14ac:dyDescent="0.2">
      <c r="A144" s="274" t="str">
        <f t="shared" si="91"/>
        <v>allrecyclingCRY1YEOW</v>
      </c>
      <c r="B144" s="241" t="str">
        <f t="shared" si="92"/>
        <v>WashrecyclingCRY1YEOW</v>
      </c>
      <c r="C144" s="232" t="s">
        <v>458</v>
      </c>
      <c r="D144" s="232" t="s">
        <v>541</v>
      </c>
      <c r="E144" s="238">
        <v>88.85</v>
      </c>
      <c r="F144" s="238">
        <v>93.289999999999978</v>
      </c>
      <c r="G144" s="238">
        <v>93.289999999999978</v>
      </c>
      <c r="I144" s="243">
        <v>254.92</v>
      </c>
      <c r="J144" s="243">
        <v>254.92</v>
      </c>
      <c r="K144" s="243">
        <v>254.92</v>
      </c>
      <c r="L144" s="243">
        <v>186.58</v>
      </c>
      <c r="M144" s="243">
        <v>186.58</v>
      </c>
      <c r="N144" s="243">
        <v>186.58</v>
      </c>
      <c r="O144" s="243">
        <v>186.58</v>
      </c>
      <c r="P144" s="243">
        <v>186.58</v>
      </c>
      <c r="Q144" s="243">
        <v>186.58</v>
      </c>
      <c r="R144" s="243">
        <v>186.58</v>
      </c>
      <c r="S144" s="243">
        <v>186.58</v>
      </c>
      <c r="T144" s="243">
        <v>186.58</v>
      </c>
      <c r="U144" s="263">
        <f t="shared" si="93"/>
        <v>2443.9799999999996</v>
      </c>
      <c r="W144" s="264">
        <f t="shared" si="70"/>
        <v>2.8691052335396736</v>
      </c>
      <c r="X144" s="264">
        <f t="shared" si="71"/>
        <v>2.8691052335396736</v>
      </c>
      <c r="Y144" s="264">
        <f t="shared" si="72"/>
        <v>2.8691052335396736</v>
      </c>
      <c r="Z144" s="264">
        <f t="shared" si="73"/>
        <v>2.0000000000000004</v>
      </c>
      <c r="AA144" s="264">
        <f t="shared" si="74"/>
        <v>2.0000000000000004</v>
      </c>
      <c r="AB144" s="264">
        <f t="shared" si="75"/>
        <v>2.0000000000000004</v>
      </c>
      <c r="AC144" s="264">
        <f t="shared" si="76"/>
        <v>2.0000000000000004</v>
      </c>
      <c r="AD144" s="264">
        <f t="shared" si="77"/>
        <v>2.0000000000000004</v>
      </c>
      <c r="AE144" s="264">
        <f t="shared" si="78"/>
        <v>2.0000000000000004</v>
      </c>
      <c r="AF144" s="264">
        <f t="shared" si="79"/>
        <v>2.0000000000000004</v>
      </c>
      <c r="AG144" s="264">
        <f t="shared" si="80"/>
        <v>2.0000000000000004</v>
      </c>
      <c r="AH144" s="264">
        <f t="shared" si="81"/>
        <v>2.0000000000000004</v>
      </c>
      <c r="AI144" s="265">
        <f t="shared" si="94"/>
        <v>2.2172763083849185</v>
      </c>
      <c r="AJ144" s="266">
        <f t="shared" si="95"/>
        <v>26.607315700619022</v>
      </c>
      <c r="AK144" s="253"/>
      <c r="AM144" s="241">
        <v>0</v>
      </c>
      <c r="AN144" s="240">
        <f t="shared" si="96"/>
        <v>0</v>
      </c>
      <c r="AO144" s="241">
        <v>1</v>
      </c>
      <c r="AP144" s="240">
        <f t="shared" si="97"/>
        <v>2.2172763083849185</v>
      </c>
      <c r="AQ144" s="241">
        <v>0</v>
      </c>
      <c r="AR144" s="240">
        <f t="shared" si="98"/>
        <v>0</v>
      </c>
      <c r="AS144" s="241">
        <v>0</v>
      </c>
      <c r="AT144" s="240">
        <f t="shared" si="99"/>
        <v>0</v>
      </c>
    </row>
    <row r="145" spans="1:46" s="274" customFormat="1" x14ac:dyDescent="0.2">
      <c r="A145" s="274" t="str">
        <f t="shared" si="91"/>
        <v>allrecyclingCRY1.5EOW</v>
      </c>
      <c r="B145" s="241" t="str">
        <f t="shared" si="92"/>
        <v>WashrecyclingCRY1.5EOW</v>
      </c>
      <c r="C145" s="232" t="s">
        <v>1184</v>
      </c>
      <c r="D145" s="232" t="s">
        <v>539</v>
      </c>
      <c r="E145" s="238">
        <v>91.69</v>
      </c>
      <c r="F145" s="238">
        <v>96.27</v>
      </c>
      <c r="G145" s="238">
        <v>96.27</v>
      </c>
      <c r="I145" s="243">
        <v>263.10000000000002</v>
      </c>
      <c r="J145" s="243">
        <v>263.10000000000002</v>
      </c>
      <c r="K145" s="243">
        <v>263.10000000000002</v>
      </c>
      <c r="L145" s="243">
        <v>276.25</v>
      </c>
      <c r="M145" s="243">
        <v>276.25</v>
      </c>
      <c r="N145" s="243">
        <v>276.25</v>
      </c>
      <c r="O145" s="243">
        <v>276.25</v>
      </c>
      <c r="P145" s="243">
        <v>276.25</v>
      </c>
      <c r="Q145" s="243">
        <v>276.25</v>
      </c>
      <c r="R145" s="243">
        <v>276.25</v>
      </c>
      <c r="S145" s="243">
        <v>276.25</v>
      </c>
      <c r="T145" s="243">
        <v>276.25</v>
      </c>
      <c r="U145" s="263">
        <f t="shared" si="93"/>
        <v>3275.55</v>
      </c>
      <c r="W145" s="264">
        <f t="shared" si="70"/>
        <v>2.8694514123677615</v>
      </c>
      <c r="X145" s="264">
        <f t="shared" si="71"/>
        <v>2.8694514123677615</v>
      </c>
      <c r="Y145" s="264">
        <f t="shared" si="72"/>
        <v>2.8694514123677615</v>
      </c>
      <c r="Z145" s="264">
        <f t="shared" si="73"/>
        <v>2.8695336034070844</v>
      </c>
      <c r="AA145" s="264">
        <f t="shared" si="74"/>
        <v>2.8695336034070844</v>
      </c>
      <c r="AB145" s="264">
        <f t="shared" si="75"/>
        <v>2.8695336034070844</v>
      </c>
      <c r="AC145" s="264">
        <f t="shared" si="76"/>
        <v>2.8695336034070844</v>
      </c>
      <c r="AD145" s="264">
        <f t="shared" si="77"/>
        <v>2.8695336034070844</v>
      </c>
      <c r="AE145" s="264">
        <f t="shared" si="78"/>
        <v>2.8695336034070844</v>
      </c>
      <c r="AF145" s="264">
        <f t="shared" si="79"/>
        <v>2.8695336034070844</v>
      </c>
      <c r="AG145" s="264">
        <f t="shared" si="80"/>
        <v>2.8695336034070844</v>
      </c>
      <c r="AH145" s="264">
        <f t="shared" si="81"/>
        <v>2.8695336034070844</v>
      </c>
      <c r="AI145" s="265">
        <f t="shared" si="94"/>
        <v>2.8695130556472539</v>
      </c>
      <c r="AJ145" s="266">
        <f t="shared" si="95"/>
        <v>34.434156667767049</v>
      </c>
      <c r="AK145" s="253"/>
      <c r="AM145" s="241">
        <v>0</v>
      </c>
      <c r="AN145" s="240">
        <f t="shared" si="96"/>
        <v>0</v>
      </c>
      <c r="AO145" s="241">
        <v>1</v>
      </c>
      <c r="AP145" s="240">
        <f t="shared" si="97"/>
        <v>2.8695130556472539</v>
      </c>
      <c r="AQ145" s="241">
        <v>0</v>
      </c>
      <c r="AR145" s="240">
        <f t="shared" si="98"/>
        <v>0</v>
      </c>
      <c r="AS145" s="241">
        <v>0</v>
      </c>
      <c r="AT145" s="240">
        <f t="shared" si="99"/>
        <v>0</v>
      </c>
    </row>
    <row r="146" spans="1:46" s="274" customFormat="1" x14ac:dyDescent="0.2">
      <c r="A146" s="274" t="str">
        <f t="shared" si="91"/>
        <v>allrecyclingCRY2Y1X</v>
      </c>
      <c r="B146" s="241" t="str">
        <f t="shared" si="92"/>
        <v>WashrecyclingCRY2Y1X</v>
      </c>
      <c r="C146" s="232" t="s">
        <v>461</v>
      </c>
      <c r="D146" s="232" t="s">
        <v>544</v>
      </c>
      <c r="E146" s="238">
        <v>157.93</v>
      </c>
      <c r="F146" s="238">
        <v>165.83</v>
      </c>
      <c r="G146" s="238">
        <v>165.83</v>
      </c>
      <c r="I146" s="243">
        <v>858.96</v>
      </c>
      <c r="J146" s="243">
        <v>755.93</v>
      </c>
      <c r="K146" s="243">
        <v>721.59</v>
      </c>
      <c r="L146" s="243">
        <v>757.68</v>
      </c>
      <c r="M146" s="243">
        <v>757.68</v>
      </c>
      <c r="N146" s="243">
        <v>757.68</v>
      </c>
      <c r="O146" s="243">
        <v>757.68</v>
      </c>
      <c r="P146" s="243">
        <v>757.68</v>
      </c>
      <c r="Q146" s="243">
        <v>757.68</v>
      </c>
      <c r="R146" s="243">
        <v>923.51</v>
      </c>
      <c r="S146" s="243">
        <v>923.51</v>
      </c>
      <c r="T146" s="243">
        <v>923.51</v>
      </c>
      <c r="U146" s="263">
        <f t="shared" si="93"/>
        <v>9653.09</v>
      </c>
      <c r="W146" s="264">
        <f t="shared" si="70"/>
        <v>5.4388653200785155</v>
      </c>
      <c r="X146" s="264">
        <f t="shared" si="71"/>
        <v>4.7864876844171462</v>
      </c>
      <c r="Y146" s="264">
        <f t="shared" si="72"/>
        <v>4.5690495789273733</v>
      </c>
      <c r="Z146" s="264">
        <f t="shared" si="73"/>
        <v>4.5690164626424643</v>
      </c>
      <c r="AA146" s="264">
        <f t="shared" si="74"/>
        <v>4.5690164626424643</v>
      </c>
      <c r="AB146" s="264">
        <f t="shared" si="75"/>
        <v>4.5690164626424643</v>
      </c>
      <c r="AC146" s="264">
        <f t="shared" si="76"/>
        <v>4.5690164626424643</v>
      </c>
      <c r="AD146" s="264">
        <f t="shared" si="77"/>
        <v>4.5690164626424643</v>
      </c>
      <c r="AE146" s="264">
        <f t="shared" si="78"/>
        <v>4.5690164626424643</v>
      </c>
      <c r="AF146" s="264">
        <f t="shared" si="79"/>
        <v>5.5690164626424643</v>
      </c>
      <c r="AG146" s="264">
        <f t="shared" si="80"/>
        <v>5.5690164626424643</v>
      </c>
      <c r="AH146" s="264">
        <f t="shared" si="81"/>
        <v>5.5690164626424643</v>
      </c>
      <c r="AI146" s="265">
        <f t="shared" si="94"/>
        <v>4.9096292289337695</v>
      </c>
      <c r="AJ146" s="266">
        <f t="shared" si="95"/>
        <v>58.915550747205231</v>
      </c>
      <c r="AK146" s="253"/>
      <c r="AM146" s="241">
        <v>0</v>
      </c>
      <c r="AN146" s="240">
        <f t="shared" si="96"/>
        <v>0</v>
      </c>
      <c r="AO146" s="241">
        <v>1</v>
      </c>
      <c r="AP146" s="240">
        <f t="shared" si="97"/>
        <v>4.9096292289337695</v>
      </c>
      <c r="AQ146" s="241">
        <v>0</v>
      </c>
      <c r="AR146" s="240">
        <f t="shared" si="98"/>
        <v>0</v>
      </c>
      <c r="AS146" s="241">
        <v>0</v>
      </c>
      <c r="AT146" s="240">
        <f t="shared" si="99"/>
        <v>0</v>
      </c>
    </row>
    <row r="147" spans="1:46" s="274" customFormat="1" x14ac:dyDescent="0.2">
      <c r="A147" s="274" t="str">
        <f t="shared" si="91"/>
        <v>allrecyclingCRY2Y2X</v>
      </c>
      <c r="B147" s="241" t="str">
        <f t="shared" si="92"/>
        <v>WashrecyclingCRY2Y2X</v>
      </c>
      <c r="C147" s="232" t="s">
        <v>462</v>
      </c>
      <c r="D147" s="232" t="s">
        <v>545</v>
      </c>
      <c r="E147" s="238">
        <v>285.45999999999998</v>
      </c>
      <c r="F147" s="238">
        <v>299.72999999999996</v>
      </c>
      <c r="G147" s="238">
        <v>299.72999999999996</v>
      </c>
      <c r="I147" s="243">
        <v>544.97</v>
      </c>
      <c r="J147" s="243">
        <v>544.97</v>
      </c>
      <c r="K147" s="243">
        <v>544.97</v>
      </c>
      <c r="L147" s="243">
        <v>572.22</v>
      </c>
      <c r="M147" s="243">
        <v>572.22</v>
      </c>
      <c r="N147" s="243">
        <v>572.22</v>
      </c>
      <c r="O147" s="243">
        <v>572.22</v>
      </c>
      <c r="P147" s="243">
        <v>572.22</v>
      </c>
      <c r="Q147" s="243">
        <v>572.22</v>
      </c>
      <c r="R147" s="243">
        <v>572.22</v>
      </c>
      <c r="S147" s="243">
        <v>572.22</v>
      </c>
      <c r="T147" s="243">
        <v>572.22</v>
      </c>
      <c r="U147" s="263">
        <f t="shared" si="93"/>
        <v>6784.8900000000021</v>
      </c>
      <c r="W147" s="264">
        <f t="shared" si="70"/>
        <v>1.909094093743432</v>
      </c>
      <c r="X147" s="264">
        <f t="shared" si="71"/>
        <v>1.909094093743432</v>
      </c>
      <c r="Y147" s="264">
        <f t="shared" si="72"/>
        <v>1.909094093743432</v>
      </c>
      <c r="Z147" s="264">
        <f t="shared" si="73"/>
        <v>1.9091182063857475</v>
      </c>
      <c r="AA147" s="264">
        <f t="shared" si="74"/>
        <v>1.9091182063857475</v>
      </c>
      <c r="AB147" s="264">
        <f t="shared" si="75"/>
        <v>1.9091182063857475</v>
      </c>
      <c r="AC147" s="264">
        <f t="shared" si="76"/>
        <v>1.9091182063857475</v>
      </c>
      <c r="AD147" s="264">
        <f t="shared" si="77"/>
        <v>1.9091182063857475</v>
      </c>
      <c r="AE147" s="264">
        <f t="shared" si="78"/>
        <v>1.9091182063857475</v>
      </c>
      <c r="AF147" s="264">
        <f t="shared" si="79"/>
        <v>1.9091182063857475</v>
      </c>
      <c r="AG147" s="264">
        <f t="shared" si="80"/>
        <v>1.9091182063857475</v>
      </c>
      <c r="AH147" s="264">
        <f t="shared" si="81"/>
        <v>1.9091182063857475</v>
      </c>
      <c r="AI147" s="265">
        <f t="shared" si="94"/>
        <v>1.909112178225169</v>
      </c>
      <c r="AJ147" s="266">
        <f t="shared" si="95"/>
        <v>22.909346138702027</v>
      </c>
      <c r="AK147" s="253"/>
      <c r="AM147" s="241">
        <v>0</v>
      </c>
      <c r="AN147" s="240">
        <f t="shared" si="96"/>
        <v>0</v>
      </c>
      <c r="AO147" s="241">
        <v>1</v>
      </c>
      <c r="AP147" s="240">
        <f t="shared" si="97"/>
        <v>1.909112178225169</v>
      </c>
      <c r="AQ147" s="241">
        <v>0</v>
      </c>
      <c r="AR147" s="240">
        <f t="shared" si="98"/>
        <v>0</v>
      </c>
      <c r="AS147" s="241">
        <v>0</v>
      </c>
      <c r="AT147" s="240">
        <f t="shared" si="99"/>
        <v>0</v>
      </c>
    </row>
    <row r="148" spans="1:46" s="274" customFormat="1" x14ac:dyDescent="0.2">
      <c r="A148" s="274" t="str">
        <f t="shared" si="91"/>
        <v>allrecyclingCRY2YEOW</v>
      </c>
      <c r="B148" s="241" t="str">
        <f t="shared" si="92"/>
        <v>WashrecyclingCRY2YEOW</v>
      </c>
      <c r="C148" s="232" t="s">
        <v>463</v>
      </c>
      <c r="D148" s="232" t="s">
        <v>546</v>
      </c>
      <c r="E148" s="238">
        <v>97.39</v>
      </c>
      <c r="F148" s="238">
        <v>102.26</v>
      </c>
      <c r="G148" s="238">
        <v>102.26</v>
      </c>
      <c r="I148" s="243">
        <v>851.13</v>
      </c>
      <c r="J148" s="243">
        <v>851.13</v>
      </c>
      <c r="K148" s="243">
        <v>851.13</v>
      </c>
      <c r="L148" s="243">
        <v>791.44</v>
      </c>
      <c r="M148" s="243">
        <v>791.44</v>
      </c>
      <c r="N148" s="243">
        <v>791.44</v>
      </c>
      <c r="O148" s="243">
        <v>791.44</v>
      </c>
      <c r="P148" s="243">
        <v>791.44</v>
      </c>
      <c r="Q148" s="243">
        <v>791.44</v>
      </c>
      <c r="R148" s="243">
        <v>791.44</v>
      </c>
      <c r="S148" s="243">
        <v>791.44</v>
      </c>
      <c r="T148" s="243">
        <v>791.44</v>
      </c>
      <c r="U148" s="263">
        <f t="shared" si="93"/>
        <v>9676.350000000004</v>
      </c>
      <c r="W148" s="264">
        <f t="shared" si="70"/>
        <v>8.7393982955128866</v>
      </c>
      <c r="X148" s="264">
        <f t="shared" si="71"/>
        <v>8.7393982955128866</v>
      </c>
      <c r="Y148" s="264">
        <f t="shared" si="72"/>
        <v>8.7393982955128866</v>
      </c>
      <c r="Z148" s="264">
        <f t="shared" si="73"/>
        <v>7.7394875806767063</v>
      </c>
      <c r="AA148" s="264">
        <f t="shared" si="74"/>
        <v>7.7394875806767063</v>
      </c>
      <c r="AB148" s="264">
        <f t="shared" si="75"/>
        <v>7.7394875806767063</v>
      </c>
      <c r="AC148" s="264">
        <f t="shared" si="76"/>
        <v>7.7394875806767063</v>
      </c>
      <c r="AD148" s="264">
        <f t="shared" si="77"/>
        <v>7.7394875806767063</v>
      </c>
      <c r="AE148" s="264">
        <f t="shared" si="78"/>
        <v>7.7394875806767063</v>
      </c>
      <c r="AF148" s="264">
        <f t="shared" si="79"/>
        <v>7.7394875806767063</v>
      </c>
      <c r="AG148" s="264">
        <f t="shared" si="80"/>
        <v>7.7394875806767063</v>
      </c>
      <c r="AH148" s="264">
        <f t="shared" si="81"/>
        <v>7.7394875806767063</v>
      </c>
      <c r="AI148" s="265">
        <f t="shared" si="94"/>
        <v>7.9894652593857529</v>
      </c>
      <c r="AJ148" s="266">
        <f t="shared" si="95"/>
        <v>95.873583112629035</v>
      </c>
      <c r="AK148" s="253"/>
      <c r="AM148" s="241">
        <v>0</v>
      </c>
      <c r="AN148" s="240">
        <f t="shared" si="96"/>
        <v>0</v>
      </c>
      <c r="AO148" s="241">
        <v>1</v>
      </c>
      <c r="AP148" s="240">
        <f t="shared" si="97"/>
        <v>7.9894652593857529</v>
      </c>
      <c r="AQ148" s="241">
        <v>0</v>
      </c>
      <c r="AR148" s="240">
        <f t="shared" si="98"/>
        <v>0</v>
      </c>
      <c r="AS148" s="241">
        <v>0</v>
      </c>
      <c r="AT148" s="240">
        <f t="shared" si="99"/>
        <v>0</v>
      </c>
    </row>
    <row r="149" spans="1:46" s="274" customFormat="1" x14ac:dyDescent="0.2">
      <c r="A149" s="274" t="str">
        <f t="shared" si="91"/>
        <v>allrecyclingCRY3Y1X</v>
      </c>
      <c r="B149" s="241" t="str">
        <f t="shared" si="92"/>
        <v>WashrecyclingCRY3Y1X</v>
      </c>
      <c r="C149" s="232" t="s">
        <v>465</v>
      </c>
      <c r="D149" s="232" t="s">
        <v>548</v>
      </c>
      <c r="E149" s="238">
        <v>171.84</v>
      </c>
      <c r="F149" s="238">
        <v>180.43000000000004</v>
      </c>
      <c r="G149" s="238">
        <v>180.43000000000004</v>
      </c>
      <c r="I149" s="243">
        <v>931.98</v>
      </c>
      <c r="J149" s="243">
        <v>931.98</v>
      </c>
      <c r="K149" s="243">
        <v>931.98</v>
      </c>
      <c r="L149" s="243">
        <v>978.58</v>
      </c>
      <c r="M149" s="243">
        <v>1113.9000000000001</v>
      </c>
      <c r="N149" s="243">
        <v>1159.01</v>
      </c>
      <c r="O149" s="243">
        <v>1159.01</v>
      </c>
      <c r="P149" s="243">
        <v>1159.01</v>
      </c>
      <c r="Q149" s="243">
        <v>1159.01</v>
      </c>
      <c r="R149" s="243">
        <v>1159.01</v>
      </c>
      <c r="S149" s="243">
        <v>1159.01</v>
      </c>
      <c r="T149" s="243">
        <v>1159.01</v>
      </c>
      <c r="U149" s="263">
        <f t="shared" si="93"/>
        <v>13001.490000000002</v>
      </c>
      <c r="W149" s="264">
        <f t="shared" ref="W149:W188" si="100">IFERROR(I149/$E149,0)</f>
        <v>5.4235335195530725</v>
      </c>
      <c r="X149" s="264">
        <f t="shared" ref="X149:X188" si="101">IFERROR(J149/$E149,0)</f>
        <v>5.4235335195530725</v>
      </c>
      <c r="Y149" s="264">
        <f t="shared" ref="Y149:Y188" si="102">IFERROR(K149/$E149,0)</f>
        <v>5.4235335195530725</v>
      </c>
      <c r="Z149" s="264">
        <f t="shared" ref="Z149:Z188" si="103">IFERROR(L149/$F149,0)</f>
        <v>5.4235991797372938</v>
      </c>
      <c r="AA149" s="264">
        <f t="shared" ref="AA149:AA188" si="104">IFERROR(M149/$F149,0)</f>
        <v>6.1735853239483447</v>
      </c>
      <c r="AB149" s="264">
        <f t="shared" ref="AB149:AB188" si="105">IFERROR(N149/$F149,0)</f>
        <v>6.4235991797372929</v>
      </c>
      <c r="AC149" s="264">
        <f t="shared" ref="AC149:AC188" si="106">IFERROR(O149/$F149,0)</f>
        <v>6.4235991797372929</v>
      </c>
      <c r="AD149" s="264">
        <f t="shared" ref="AD149:AD188" si="107">IFERROR(P149/$F149,0)</f>
        <v>6.4235991797372929</v>
      </c>
      <c r="AE149" s="264">
        <f t="shared" ref="AE149:AE188" si="108">IFERROR(Q149/$F149,0)</f>
        <v>6.4235991797372929</v>
      </c>
      <c r="AF149" s="264">
        <f t="shared" ref="AF149:AF188" si="109">IFERROR(R149/$G149,0)</f>
        <v>6.4235991797372929</v>
      </c>
      <c r="AG149" s="264">
        <f t="shared" ref="AG149:AG188" si="110">IFERROR(S149/$G149,0)</f>
        <v>6.4235991797372929</v>
      </c>
      <c r="AH149" s="264">
        <f t="shared" ref="AH149:AH188" si="111">IFERROR(T149/$G149,0)</f>
        <v>6.4235991797372929</v>
      </c>
      <c r="AI149" s="265">
        <f t="shared" si="94"/>
        <v>6.0694149433754925</v>
      </c>
      <c r="AJ149" s="266">
        <f t="shared" si="95"/>
        <v>72.832979320505913</v>
      </c>
      <c r="AK149" s="253"/>
      <c r="AM149" s="241">
        <v>0</v>
      </c>
      <c r="AN149" s="240">
        <f t="shared" si="96"/>
        <v>0</v>
      </c>
      <c r="AO149" s="241">
        <v>1</v>
      </c>
      <c r="AP149" s="240">
        <f t="shared" si="97"/>
        <v>6.0694149433754925</v>
      </c>
      <c r="AQ149" s="241">
        <v>0</v>
      </c>
      <c r="AR149" s="240">
        <f t="shared" si="98"/>
        <v>0</v>
      </c>
      <c r="AS149" s="241">
        <v>0</v>
      </c>
      <c r="AT149" s="240">
        <f t="shared" si="99"/>
        <v>0</v>
      </c>
    </row>
    <row r="150" spans="1:46" s="274" customFormat="1" x14ac:dyDescent="0.2">
      <c r="A150" s="274" t="str">
        <f t="shared" si="91"/>
        <v>allrecyclingCRY3YEOW</v>
      </c>
      <c r="B150" s="241" t="str">
        <f t="shared" si="92"/>
        <v>WashrecyclingCRY3YEOW</v>
      </c>
      <c r="C150" s="232" t="s">
        <v>469</v>
      </c>
      <c r="D150" s="232" t="s">
        <v>552</v>
      </c>
      <c r="E150" s="238">
        <v>106</v>
      </c>
      <c r="F150" s="238">
        <v>111.29999999999998</v>
      </c>
      <c r="G150" s="238">
        <v>111.29999999999998</v>
      </c>
      <c r="I150" s="243">
        <v>106</v>
      </c>
      <c r="J150" s="243">
        <v>106</v>
      </c>
      <c r="K150" s="243">
        <v>106</v>
      </c>
      <c r="L150" s="243">
        <v>111.3</v>
      </c>
      <c r="M150" s="243">
        <v>111.3</v>
      </c>
      <c r="N150" s="243">
        <v>111.3</v>
      </c>
      <c r="O150" s="243">
        <v>111.3</v>
      </c>
      <c r="P150" s="243">
        <v>111.3</v>
      </c>
      <c r="Q150" s="243">
        <v>111.3</v>
      </c>
      <c r="R150" s="243">
        <v>111.3</v>
      </c>
      <c r="S150" s="243">
        <v>111.3</v>
      </c>
      <c r="T150" s="243">
        <v>111.3</v>
      </c>
      <c r="U150" s="263">
        <f t="shared" si="93"/>
        <v>1319.6999999999998</v>
      </c>
      <c r="W150" s="264">
        <f t="shared" si="100"/>
        <v>1</v>
      </c>
      <c r="X150" s="264">
        <f t="shared" si="101"/>
        <v>1</v>
      </c>
      <c r="Y150" s="264">
        <f t="shared" si="102"/>
        <v>1</v>
      </c>
      <c r="Z150" s="264">
        <f t="shared" si="103"/>
        <v>1.0000000000000002</v>
      </c>
      <c r="AA150" s="264">
        <f t="shared" si="104"/>
        <v>1.0000000000000002</v>
      </c>
      <c r="AB150" s="264">
        <f t="shared" si="105"/>
        <v>1.0000000000000002</v>
      </c>
      <c r="AC150" s="264">
        <f t="shared" si="106"/>
        <v>1.0000000000000002</v>
      </c>
      <c r="AD150" s="264">
        <f t="shared" si="107"/>
        <v>1.0000000000000002</v>
      </c>
      <c r="AE150" s="264">
        <f t="shared" si="108"/>
        <v>1.0000000000000002</v>
      </c>
      <c r="AF150" s="264">
        <f t="shared" si="109"/>
        <v>1.0000000000000002</v>
      </c>
      <c r="AG150" s="264">
        <f t="shared" si="110"/>
        <v>1.0000000000000002</v>
      </c>
      <c r="AH150" s="264">
        <f t="shared" si="111"/>
        <v>1.0000000000000002</v>
      </c>
      <c r="AI150" s="265">
        <f t="shared" si="94"/>
        <v>1</v>
      </c>
      <c r="AJ150" s="266">
        <f t="shared" si="95"/>
        <v>12</v>
      </c>
      <c r="AK150" s="253"/>
      <c r="AM150" s="241">
        <v>0</v>
      </c>
      <c r="AN150" s="240">
        <f t="shared" si="96"/>
        <v>0</v>
      </c>
      <c r="AO150" s="241">
        <v>1</v>
      </c>
      <c r="AP150" s="240">
        <f t="shared" si="97"/>
        <v>1</v>
      </c>
      <c r="AQ150" s="241">
        <v>0</v>
      </c>
      <c r="AR150" s="240">
        <f t="shared" si="98"/>
        <v>0</v>
      </c>
      <c r="AS150" s="241">
        <v>0</v>
      </c>
      <c r="AT150" s="240">
        <f t="shared" si="99"/>
        <v>0</v>
      </c>
    </row>
    <row r="151" spans="1:46" s="274" customFormat="1" x14ac:dyDescent="0.2">
      <c r="A151" s="274" t="str">
        <f t="shared" si="91"/>
        <v>allrecyclingCRY4Y1X</v>
      </c>
      <c r="B151" s="241" t="str">
        <f t="shared" si="92"/>
        <v>WashrecyclingCRY4Y1X</v>
      </c>
      <c r="C151" s="232" t="s">
        <v>470</v>
      </c>
      <c r="D151" s="232" t="s">
        <v>553</v>
      </c>
      <c r="E151" s="238">
        <v>188.52</v>
      </c>
      <c r="F151" s="238">
        <v>197.95000000000002</v>
      </c>
      <c r="G151" s="238">
        <v>197.95000000000002</v>
      </c>
      <c r="I151" s="243">
        <v>2032.38</v>
      </c>
      <c r="J151" s="243">
        <v>2173.77</v>
      </c>
      <c r="K151" s="243">
        <v>2173.77</v>
      </c>
      <c r="L151" s="243">
        <v>2282.5</v>
      </c>
      <c r="M151" s="243">
        <v>2282.5</v>
      </c>
      <c r="N151" s="243">
        <v>2282.5</v>
      </c>
      <c r="O151" s="243">
        <v>2084.5500000000002</v>
      </c>
      <c r="P151" s="243">
        <v>2084.5500000000002</v>
      </c>
      <c r="Q151" s="243">
        <v>1936.09</v>
      </c>
      <c r="R151" s="243">
        <v>1886.6</v>
      </c>
      <c r="S151" s="243">
        <v>1886.6</v>
      </c>
      <c r="T151" s="243">
        <v>2084.5500000000002</v>
      </c>
      <c r="U151" s="263">
        <f t="shared" si="93"/>
        <v>25190.359999999997</v>
      </c>
      <c r="W151" s="264">
        <f t="shared" si="100"/>
        <v>10.78071292170592</v>
      </c>
      <c r="X151" s="264">
        <f t="shared" si="101"/>
        <v>11.53071292170592</v>
      </c>
      <c r="Y151" s="264">
        <f t="shared" si="102"/>
        <v>11.53071292170592</v>
      </c>
      <c r="Z151" s="264">
        <f t="shared" si="103"/>
        <v>11.530689568072745</v>
      </c>
      <c r="AA151" s="264">
        <f t="shared" si="104"/>
        <v>11.530689568072745</v>
      </c>
      <c r="AB151" s="264">
        <f t="shared" si="105"/>
        <v>11.530689568072745</v>
      </c>
      <c r="AC151" s="264">
        <f t="shared" si="106"/>
        <v>10.530689568072745</v>
      </c>
      <c r="AD151" s="264">
        <f t="shared" si="107"/>
        <v>10.530689568072745</v>
      </c>
      <c r="AE151" s="264">
        <f t="shared" si="108"/>
        <v>9.7807021975246258</v>
      </c>
      <c r="AF151" s="264">
        <f t="shared" si="109"/>
        <v>9.530689568072745</v>
      </c>
      <c r="AG151" s="264">
        <f t="shared" si="110"/>
        <v>9.530689568072745</v>
      </c>
      <c r="AH151" s="264">
        <f t="shared" si="111"/>
        <v>10.530689568072745</v>
      </c>
      <c r="AI151" s="265">
        <f t="shared" si="94"/>
        <v>10.739029792268695</v>
      </c>
      <c r="AJ151" s="266">
        <f t="shared" si="95"/>
        <v>128.86835750722435</v>
      </c>
      <c r="AK151" s="253"/>
      <c r="AM151" s="241">
        <v>0</v>
      </c>
      <c r="AN151" s="240">
        <f t="shared" si="96"/>
        <v>0</v>
      </c>
      <c r="AO151" s="241">
        <v>1</v>
      </c>
      <c r="AP151" s="240">
        <f t="shared" si="97"/>
        <v>10.739029792268695</v>
      </c>
      <c r="AQ151" s="241">
        <v>0</v>
      </c>
      <c r="AR151" s="240">
        <f t="shared" si="98"/>
        <v>0</v>
      </c>
      <c r="AS151" s="241">
        <v>0</v>
      </c>
      <c r="AT151" s="240">
        <f t="shared" si="99"/>
        <v>0</v>
      </c>
    </row>
    <row r="152" spans="1:46" s="274" customFormat="1" x14ac:dyDescent="0.2">
      <c r="A152" s="274" t="str">
        <f t="shared" si="91"/>
        <v>allrecyclingCRY4Y2X</v>
      </c>
      <c r="B152" s="241" t="str">
        <f t="shared" si="92"/>
        <v>WashrecyclingCRY4Y2X</v>
      </c>
      <c r="C152" s="232" t="s">
        <v>471</v>
      </c>
      <c r="D152" s="232" t="s">
        <v>554</v>
      </c>
      <c r="E152" s="238">
        <v>338.11</v>
      </c>
      <c r="F152" s="238">
        <v>355.02000000000004</v>
      </c>
      <c r="G152" s="238">
        <v>355.02000000000004</v>
      </c>
      <c r="I152" s="243">
        <v>1443.34</v>
      </c>
      <c r="J152" s="243">
        <v>1443.34</v>
      </c>
      <c r="K152" s="243">
        <v>1443.34</v>
      </c>
      <c r="L152" s="243">
        <v>1515.51</v>
      </c>
      <c r="M152" s="243">
        <v>1515.51</v>
      </c>
      <c r="N152" s="243">
        <v>1515.51</v>
      </c>
      <c r="O152" s="243">
        <v>1515.51</v>
      </c>
      <c r="P152" s="243">
        <v>1515.51</v>
      </c>
      <c r="Q152" s="243">
        <v>1515.51</v>
      </c>
      <c r="R152" s="243">
        <v>1529.51</v>
      </c>
      <c r="S152" s="243">
        <v>1529.51</v>
      </c>
      <c r="T152" s="243">
        <v>1529.51</v>
      </c>
      <c r="U152" s="263">
        <f t="shared" si="93"/>
        <v>18011.609999999997</v>
      </c>
      <c r="W152" s="264">
        <f t="shared" si="100"/>
        <v>4.2688474165212504</v>
      </c>
      <c r="X152" s="264">
        <f t="shared" si="101"/>
        <v>4.2688474165212504</v>
      </c>
      <c r="Y152" s="264">
        <f t="shared" si="102"/>
        <v>4.2688474165212504</v>
      </c>
      <c r="Z152" s="264">
        <f t="shared" si="103"/>
        <v>4.2688017576474557</v>
      </c>
      <c r="AA152" s="264">
        <f t="shared" si="104"/>
        <v>4.2688017576474557</v>
      </c>
      <c r="AB152" s="264">
        <f t="shared" si="105"/>
        <v>4.2688017576474557</v>
      </c>
      <c r="AC152" s="264">
        <f t="shared" si="106"/>
        <v>4.2688017576474557</v>
      </c>
      <c r="AD152" s="264">
        <f t="shared" si="107"/>
        <v>4.2688017576474557</v>
      </c>
      <c r="AE152" s="264">
        <f t="shared" si="108"/>
        <v>4.2688017576474557</v>
      </c>
      <c r="AF152" s="264">
        <f t="shared" si="109"/>
        <v>4.3082361557095368</v>
      </c>
      <c r="AG152" s="264">
        <f t="shared" si="110"/>
        <v>4.3082361557095368</v>
      </c>
      <c r="AH152" s="264">
        <f t="shared" si="111"/>
        <v>4.3082361557095368</v>
      </c>
      <c r="AI152" s="265">
        <f t="shared" si="94"/>
        <v>4.2786717718814247</v>
      </c>
      <c r="AJ152" s="266">
        <f t="shared" si="95"/>
        <v>51.3440612625771</v>
      </c>
      <c r="AK152" s="253"/>
      <c r="AM152" s="241">
        <v>0</v>
      </c>
      <c r="AN152" s="240">
        <f t="shared" si="96"/>
        <v>0</v>
      </c>
      <c r="AO152" s="241">
        <v>1</v>
      </c>
      <c r="AP152" s="240">
        <f t="shared" si="97"/>
        <v>4.2786717718814247</v>
      </c>
      <c r="AQ152" s="241">
        <v>0</v>
      </c>
      <c r="AR152" s="240">
        <f t="shared" si="98"/>
        <v>0</v>
      </c>
      <c r="AS152" s="241">
        <v>0</v>
      </c>
      <c r="AT152" s="240">
        <f t="shared" si="99"/>
        <v>0</v>
      </c>
    </row>
    <row r="153" spans="1:46" s="274" customFormat="1" x14ac:dyDescent="0.2">
      <c r="A153" s="274" t="str">
        <f t="shared" si="91"/>
        <v>allrecyclingCRY4YEOW</v>
      </c>
      <c r="B153" s="241" t="str">
        <f t="shared" si="92"/>
        <v>WashrecyclingCRY4YEOW</v>
      </c>
      <c r="C153" s="232" t="s">
        <v>473</v>
      </c>
      <c r="D153" s="232" t="s">
        <v>556</v>
      </c>
      <c r="E153" s="238">
        <v>117.47</v>
      </c>
      <c r="F153" s="238">
        <v>123.34000000000002</v>
      </c>
      <c r="G153" s="238">
        <v>123.34000000000002</v>
      </c>
      <c r="I153" s="243">
        <v>464.67</v>
      </c>
      <c r="J153" s="243">
        <v>464.67</v>
      </c>
      <c r="K153" s="243">
        <v>464.67</v>
      </c>
      <c r="L153" s="243">
        <v>487.9</v>
      </c>
      <c r="M153" s="243">
        <v>487.9</v>
      </c>
      <c r="N153" s="243">
        <v>487.9</v>
      </c>
      <c r="O153" s="243">
        <v>487.9</v>
      </c>
      <c r="P153" s="243">
        <v>487.9</v>
      </c>
      <c r="Q153" s="243">
        <v>487.9</v>
      </c>
      <c r="R153" s="243">
        <v>487.9</v>
      </c>
      <c r="S153" s="243">
        <v>487.9</v>
      </c>
      <c r="T153" s="243">
        <v>487.9</v>
      </c>
      <c r="U153" s="263">
        <f t="shared" si="93"/>
        <v>5785.1099999999988</v>
      </c>
      <c r="W153" s="264">
        <f t="shared" si="100"/>
        <v>3.9556482506171791</v>
      </c>
      <c r="X153" s="264">
        <f t="shared" si="101"/>
        <v>3.9556482506171791</v>
      </c>
      <c r="Y153" s="264">
        <f t="shared" si="102"/>
        <v>3.9556482506171791</v>
      </c>
      <c r="Z153" s="264">
        <f t="shared" si="103"/>
        <v>3.9557321225879676</v>
      </c>
      <c r="AA153" s="264">
        <f t="shared" si="104"/>
        <v>3.9557321225879676</v>
      </c>
      <c r="AB153" s="264">
        <f t="shared" si="105"/>
        <v>3.9557321225879676</v>
      </c>
      <c r="AC153" s="264">
        <f t="shared" si="106"/>
        <v>3.9557321225879676</v>
      </c>
      <c r="AD153" s="264">
        <f t="shared" si="107"/>
        <v>3.9557321225879676</v>
      </c>
      <c r="AE153" s="264">
        <f t="shared" si="108"/>
        <v>3.9557321225879676</v>
      </c>
      <c r="AF153" s="264">
        <f t="shared" si="109"/>
        <v>3.9557321225879676</v>
      </c>
      <c r="AG153" s="264">
        <f t="shared" si="110"/>
        <v>3.9557321225879676</v>
      </c>
      <c r="AH153" s="264">
        <f t="shared" si="111"/>
        <v>3.9557321225879676</v>
      </c>
      <c r="AI153" s="265">
        <f t="shared" si="94"/>
        <v>3.9557111545952703</v>
      </c>
      <c r="AJ153" s="266">
        <f t="shared" si="95"/>
        <v>47.468533855143242</v>
      </c>
      <c r="AK153" s="253"/>
      <c r="AM153" s="241">
        <v>0</v>
      </c>
      <c r="AN153" s="240">
        <f t="shared" si="96"/>
        <v>0</v>
      </c>
      <c r="AO153" s="241">
        <v>1</v>
      </c>
      <c r="AP153" s="240">
        <f t="shared" si="97"/>
        <v>3.9557111545952703</v>
      </c>
      <c r="AQ153" s="241">
        <v>0</v>
      </c>
      <c r="AR153" s="240">
        <f t="shared" si="98"/>
        <v>0</v>
      </c>
      <c r="AS153" s="241">
        <v>0</v>
      </c>
      <c r="AT153" s="240">
        <f t="shared" si="99"/>
        <v>0</v>
      </c>
    </row>
    <row r="154" spans="1:46" s="274" customFormat="1" x14ac:dyDescent="0.2">
      <c r="A154" s="274" t="str">
        <f t="shared" si="91"/>
        <v>allrecyclingCRY6Y1X</v>
      </c>
      <c r="B154" s="241" t="str">
        <f t="shared" si="92"/>
        <v>WashrecyclingCRY6Y1X</v>
      </c>
      <c r="C154" s="232" t="s">
        <v>479</v>
      </c>
      <c r="D154" s="232" t="s">
        <v>562</v>
      </c>
      <c r="E154" s="238">
        <v>216.17</v>
      </c>
      <c r="F154" s="238">
        <v>226.98</v>
      </c>
      <c r="G154" s="238">
        <v>226.98</v>
      </c>
      <c r="I154" s="243">
        <v>918.72</v>
      </c>
      <c r="J154" s="243">
        <v>1080.8499999999999</v>
      </c>
      <c r="K154" s="243">
        <v>1134.8900000000001</v>
      </c>
      <c r="L154" s="243">
        <v>1361.88</v>
      </c>
      <c r="M154" s="243">
        <v>1361.88</v>
      </c>
      <c r="N154" s="243">
        <v>1361.88</v>
      </c>
      <c r="O154" s="243">
        <v>1361.88</v>
      </c>
      <c r="P154" s="243">
        <v>1361.88</v>
      </c>
      <c r="Q154" s="243">
        <v>1361.88</v>
      </c>
      <c r="R154" s="243">
        <v>1361.88</v>
      </c>
      <c r="S154" s="243">
        <v>1134.9000000000001</v>
      </c>
      <c r="T154" s="243">
        <v>1134.9000000000001</v>
      </c>
      <c r="U154" s="263">
        <f t="shared" si="93"/>
        <v>14937.420000000002</v>
      </c>
      <c r="W154" s="264">
        <f t="shared" si="100"/>
        <v>4.249988435027988</v>
      </c>
      <c r="X154" s="264">
        <f t="shared" si="101"/>
        <v>5</v>
      </c>
      <c r="Y154" s="264">
        <f t="shared" si="102"/>
        <v>5.249988435027988</v>
      </c>
      <c r="Z154" s="264">
        <f t="shared" si="103"/>
        <v>6.0000000000000009</v>
      </c>
      <c r="AA154" s="264">
        <f t="shared" si="104"/>
        <v>6.0000000000000009</v>
      </c>
      <c r="AB154" s="264">
        <f t="shared" si="105"/>
        <v>6.0000000000000009</v>
      </c>
      <c r="AC154" s="264">
        <f t="shared" si="106"/>
        <v>6.0000000000000009</v>
      </c>
      <c r="AD154" s="264">
        <f t="shared" si="107"/>
        <v>6.0000000000000009</v>
      </c>
      <c r="AE154" s="264">
        <f t="shared" si="108"/>
        <v>6.0000000000000009</v>
      </c>
      <c r="AF154" s="264">
        <f t="shared" si="109"/>
        <v>6.0000000000000009</v>
      </c>
      <c r="AG154" s="264">
        <f t="shared" si="110"/>
        <v>5.0000000000000009</v>
      </c>
      <c r="AH154" s="264">
        <f t="shared" si="111"/>
        <v>5.0000000000000009</v>
      </c>
      <c r="AI154" s="265">
        <f t="shared" si="94"/>
        <v>5.5416647391713312</v>
      </c>
      <c r="AJ154" s="266">
        <f t="shared" si="95"/>
        <v>66.499976870055974</v>
      </c>
      <c r="AK154" s="253"/>
      <c r="AM154" s="241">
        <v>0</v>
      </c>
      <c r="AN154" s="240">
        <f t="shared" si="96"/>
        <v>0</v>
      </c>
      <c r="AO154" s="241">
        <v>1</v>
      </c>
      <c r="AP154" s="240">
        <f t="shared" si="97"/>
        <v>5.5416647391713312</v>
      </c>
      <c r="AQ154" s="241">
        <v>0</v>
      </c>
      <c r="AR154" s="240">
        <f t="shared" si="98"/>
        <v>0</v>
      </c>
      <c r="AS154" s="241">
        <v>0</v>
      </c>
      <c r="AT154" s="240">
        <f t="shared" si="99"/>
        <v>0</v>
      </c>
    </row>
    <row r="155" spans="1:46" s="274" customFormat="1" x14ac:dyDescent="0.2">
      <c r="A155" s="274" t="str">
        <f t="shared" si="91"/>
        <v>allrecyclingCRY6Y2X</v>
      </c>
      <c r="B155" s="241" t="str">
        <f t="shared" si="92"/>
        <v>WashrecyclingCRY6Y2X</v>
      </c>
      <c r="C155" s="232" t="s">
        <v>480</v>
      </c>
      <c r="D155" s="232" t="s">
        <v>563</v>
      </c>
      <c r="E155" s="238">
        <v>390.75</v>
      </c>
      <c r="F155" s="238">
        <v>410.29</v>
      </c>
      <c r="G155" s="238">
        <v>410.29</v>
      </c>
      <c r="I155" s="243">
        <v>0</v>
      </c>
      <c r="J155" s="243">
        <v>0</v>
      </c>
      <c r="K155" s="243">
        <v>0</v>
      </c>
      <c r="L155" s="243">
        <v>0</v>
      </c>
      <c r="M155" s="243">
        <v>0</v>
      </c>
      <c r="N155" s="243">
        <v>0</v>
      </c>
      <c r="O155" s="243">
        <v>0</v>
      </c>
      <c r="P155" s="243">
        <v>0</v>
      </c>
      <c r="Q155" s="243">
        <v>0</v>
      </c>
      <c r="R155" s="243">
        <v>0</v>
      </c>
      <c r="S155" s="243">
        <v>0</v>
      </c>
      <c r="T155" s="243">
        <v>0</v>
      </c>
      <c r="U155" s="263">
        <f t="shared" si="93"/>
        <v>0</v>
      </c>
      <c r="W155" s="264">
        <f t="shared" si="100"/>
        <v>0</v>
      </c>
      <c r="X155" s="264">
        <f t="shared" si="101"/>
        <v>0</v>
      </c>
      <c r="Y155" s="264">
        <f t="shared" si="102"/>
        <v>0</v>
      </c>
      <c r="Z155" s="264">
        <f t="shared" si="103"/>
        <v>0</v>
      </c>
      <c r="AA155" s="264">
        <f t="shared" si="104"/>
        <v>0</v>
      </c>
      <c r="AB155" s="264">
        <f t="shared" si="105"/>
        <v>0</v>
      </c>
      <c r="AC155" s="264">
        <f t="shared" si="106"/>
        <v>0</v>
      </c>
      <c r="AD155" s="264">
        <f t="shared" si="107"/>
        <v>0</v>
      </c>
      <c r="AE155" s="264">
        <f t="shared" si="108"/>
        <v>0</v>
      </c>
      <c r="AF155" s="264">
        <f t="shared" si="109"/>
        <v>0</v>
      </c>
      <c r="AG155" s="264">
        <f t="shared" si="110"/>
        <v>0</v>
      </c>
      <c r="AH155" s="264">
        <f t="shared" si="111"/>
        <v>0</v>
      </c>
      <c r="AI155" s="265">
        <f t="shared" si="94"/>
        <v>0</v>
      </c>
      <c r="AJ155" s="266">
        <f t="shared" si="95"/>
        <v>0</v>
      </c>
      <c r="AK155" s="253"/>
      <c r="AM155" s="241">
        <v>0</v>
      </c>
      <c r="AN155" s="240">
        <f t="shared" si="96"/>
        <v>0</v>
      </c>
      <c r="AO155" s="241">
        <v>1</v>
      </c>
      <c r="AP155" s="240">
        <f t="shared" si="97"/>
        <v>0</v>
      </c>
      <c r="AQ155" s="241">
        <v>0</v>
      </c>
      <c r="AR155" s="240">
        <f t="shared" si="98"/>
        <v>0</v>
      </c>
      <c r="AS155" s="241">
        <v>0</v>
      </c>
      <c r="AT155" s="240">
        <f t="shared" si="99"/>
        <v>0</v>
      </c>
    </row>
    <row r="156" spans="1:46" s="274" customFormat="1" x14ac:dyDescent="0.2">
      <c r="A156" s="274" t="str">
        <f t="shared" si="91"/>
        <v>allrecyclingCRY8Y1X</v>
      </c>
      <c r="B156" s="241" t="str">
        <f t="shared" si="92"/>
        <v>WashrecyclingCRY8Y1X</v>
      </c>
      <c r="C156" s="232" t="s">
        <v>483</v>
      </c>
      <c r="D156" s="232" t="s">
        <v>566</v>
      </c>
      <c r="E156" s="238">
        <v>230.01</v>
      </c>
      <c r="F156" s="238">
        <v>241.51000000000002</v>
      </c>
      <c r="G156" s="238">
        <v>241.51000000000002</v>
      </c>
      <c r="I156" s="243">
        <v>172.81</v>
      </c>
      <c r="J156" s="243">
        <v>172.81</v>
      </c>
      <c r="K156" s="243">
        <v>172.81</v>
      </c>
      <c r="L156" s="243">
        <v>172.81</v>
      </c>
      <c r="M156" s="243">
        <v>414.32</v>
      </c>
      <c r="N156" s="243">
        <v>414.32</v>
      </c>
      <c r="O156" s="243">
        <v>474.7</v>
      </c>
      <c r="P156" s="243">
        <v>655.83</v>
      </c>
      <c r="Q156" s="243">
        <v>655.83</v>
      </c>
      <c r="R156" s="243">
        <v>655.83</v>
      </c>
      <c r="S156" s="243">
        <v>414.32</v>
      </c>
      <c r="T156" s="243">
        <v>414.32</v>
      </c>
      <c r="U156" s="263">
        <f t="shared" si="93"/>
        <v>4790.7099999999991</v>
      </c>
      <c r="W156" s="264">
        <f t="shared" si="100"/>
        <v>0.75131516021042566</v>
      </c>
      <c r="X156" s="264">
        <f t="shared" si="101"/>
        <v>0.75131516021042566</v>
      </c>
      <c r="Y156" s="264">
        <f t="shared" si="102"/>
        <v>0.75131516021042566</v>
      </c>
      <c r="Z156" s="264">
        <f t="shared" si="103"/>
        <v>0.71553972920375963</v>
      </c>
      <c r="AA156" s="264">
        <f t="shared" si="104"/>
        <v>1.7155397292037595</v>
      </c>
      <c r="AB156" s="264">
        <f t="shared" si="105"/>
        <v>1.7155397292037595</v>
      </c>
      <c r="AC156" s="264">
        <f t="shared" si="106"/>
        <v>1.9655500807419981</v>
      </c>
      <c r="AD156" s="264">
        <f t="shared" si="107"/>
        <v>2.7155397292037597</v>
      </c>
      <c r="AE156" s="264">
        <f t="shared" si="108"/>
        <v>2.7155397292037597</v>
      </c>
      <c r="AF156" s="264">
        <f t="shared" si="109"/>
        <v>2.7155397292037597</v>
      </c>
      <c r="AG156" s="264">
        <f t="shared" si="110"/>
        <v>1.7155397292037595</v>
      </c>
      <c r="AH156" s="264">
        <f t="shared" si="111"/>
        <v>1.7155397292037595</v>
      </c>
      <c r="AI156" s="265">
        <f t="shared" si="94"/>
        <v>1.6619844495836125</v>
      </c>
      <c r="AJ156" s="266">
        <f t="shared" si="95"/>
        <v>19.94381339500335</v>
      </c>
      <c r="AK156" s="253"/>
      <c r="AM156" s="241">
        <v>0</v>
      </c>
      <c r="AN156" s="240">
        <f t="shared" si="96"/>
        <v>0</v>
      </c>
      <c r="AO156" s="241">
        <v>1</v>
      </c>
      <c r="AP156" s="240">
        <f t="shared" si="97"/>
        <v>1.6619844495836125</v>
      </c>
      <c r="AQ156" s="241">
        <v>0</v>
      </c>
      <c r="AR156" s="240">
        <f t="shared" si="98"/>
        <v>0</v>
      </c>
      <c r="AS156" s="241">
        <v>0</v>
      </c>
      <c r="AT156" s="240">
        <f t="shared" si="99"/>
        <v>0</v>
      </c>
    </row>
    <row r="157" spans="1:46" s="274" customFormat="1" x14ac:dyDescent="0.2">
      <c r="A157" s="274" t="str">
        <f t="shared" si="91"/>
        <v>allrecyclingCRY8Y2X</v>
      </c>
      <c r="B157" s="241" t="str">
        <f t="shared" si="92"/>
        <v>WashrecyclingCRY8Y2X</v>
      </c>
      <c r="C157" s="232" t="s">
        <v>484</v>
      </c>
      <c r="D157" s="232" t="s">
        <v>567</v>
      </c>
      <c r="E157" s="238">
        <v>410.11</v>
      </c>
      <c r="F157" s="238">
        <v>430.61999999999995</v>
      </c>
      <c r="G157" s="238">
        <v>430.61999999999995</v>
      </c>
      <c r="I157" s="243">
        <v>1193.05</v>
      </c>
      <c r="J157" s="243">
        <v>1193.05</v>
      </c>
      <c r="K157" s="243">
        <v>1193.05</v>
      </c>
      <c r="L157" s="243">
        <v>1252.71</v>
      </c>
      <c r="M157" s="243">
        <v>822.09</v>
      </c>
      <c r="N157" s="243">
        <v>822.09</v>
      </c>
      <c r="O157" s="243">
        <v>724.22</v>
      </c>
      <c r="P157" s="243">
        <v>430.62</v>
      </c>
      <c r="Q157" s="243">
        <v>430.62</v>
      </c>
      <c r="R157" s="243">
        <v>430.62</v>
      </c>
      <c r="S157" s="243">
        <v>861.24</v>
      </c>
      <c r="T157" s="243">
        <v>861.24</v>
      </c>
      <c r="U157" s="263">
        <f t="shared" si="93"/>
        <v>10214.6</v>
      </c>
      <c r="W157" s="264">
        <f t="shared" si="100"/>
        <v>2.9090975591914363</v>
      </c>
      <c r="X157" s="264">
        <f t="shared" si="101"/>
        <v>2.9090975591914363</v>
      </c>
      <c r="Y157" s="264">
        <f t="shared" si="102"/>
        <v>2.9090975591914363</v>
      </c>
      <c r="Z157" s="264">
        <f t="shared" si="103"/>
        <v>2.9090845757280204</v>
      </c>
      <c r="AA157" s="264">
        <f t="shared" si="104"/>
        <v>1.9090845757280204</v>
      </c>
      <c r="AB157" s="264">
        <f t="shared" si="105"/>
        <v>1.9090845757280204</v>
      </c>
      <c r="AC157" s="264">
        <f t="shared" si="106"/>
        <v>1.681807626213367</v>
      </c>
      <c r="AD157" s="264">
        <f t="shared" si="107"/>
        <v>1.0000000000000002</v>
      </c>
      <c r="AE157" s="264">
        <f t="shared" si="108"/>
        <v>1.0000000000000002</v>
      </c>
      <c r="AF157" s="264">
        <f t="shared" si="109"/>
        <v>1.0000000000000002</v>
      </c>
      <c r="AG157" s="264">
        <f t="shared" si="110"/>
        <v>2.0000000000000004</v>
      </c>
      <c r="AH157" s="264">
        <f t="shared" si="111"/>
        <v>2.0000000000000004</v>
      </c>
      <c r="AI157" s="265">
        <f t="shared" si="94"/>
        <v>2.0113628359143112</v>
      </c>
      <c r="AJ157" s="266">
        <f t="shared" si="95"/>
        <v>24.136354030971734</v>
      </c>
      <c r="AK157" s="253"/>
      <c r="AM157" s="241">
        <v>0</v>
      </c>
      <c r="AN157" s="240">
        <f t="shared" si="96"/>
        <v>0</v>
      </c>
      <c r="AO157" s="241">
        <v>1</v>
      </c>
      <c r="AP157" s="240">
        <f t="shared" si="97"/>
        <v>2.0113628359143112</v>
      </c>
      <c r="AQ157" s="241">
        <v>0</v>
      </c>
      <c r="AR157" s="240">
        <f t="shared" si="98"/>
        <v>0</v>
      </c>
      <c r="AS157" s="241">
        <v>0</v>
      </c>
      <c r="AT157" s="240">
        <f t="shared" si="99"/>
        <v>0</v>
      </c>
    </row>
    <row r="158" spans="1:46" s="274" customFormat="1" x14ac:dyDescent="0.2">
      <c r="A158" s="274" t="str">
        <f t="shared" si="91"/>
        <v>allrecyclingCRY901X</v>
      </c>
      <c r="B158" s="241" t="str">
        <f t="shared" si="92"/>
        <v>WashrecyclingCRY901X</v>
      </c>
      <c r="C158" s="232" t="s">
        <v>490</v>
      </c>
      <c r="D158" s="232" t="s">
        <v>573</v>
      </c>
      <c r="E158" s="238">
        <v>93.21</v>
      </c>
      <c r="F158" s="238">
        <v>97.86999999999999</v>
      </c>
      <c r="G158" s="238">
        <v>97.86999999999999</v>
      </c>
      <c r="I158" s="243">
        <v>363.89</v>
      </c>
      <c r="J158" s="243">
        <v>363.89</v>
      </c>
      <c r="K158" s="243">
        <v>363.89</v>
      </c>
      <c r="L158" s="243">
        <v>382.09</v>
      </c>
      <c r="M158" s="243">
        <v>479.96</v>
      </c>
      <c r="N158" s="243">
        <v>479.96</v>
      </c>
      <c r="O158" s="243">
        <v>479.96</v>
      </c>
      <c r="P158" s="243">
        <v>88.479999999999961</v>
      </c>
      <c r="Q158" s="243">
        <v>382.09</v>
      </c>
      <c r="R158" s="243">
        <v>382.09</v>
      </c>
      <c r="S158" s="243">
        <v>382.09</v>
      </c>
      <c r="T158" s="243">
        <v>382.09</v>
      </c>
      <c r="U158" s="263">
        <f t="shared" si="93"/>
        <v>4530.4800000000005</v>
      </c>
      <c r="W158" s="264">
        <f t="shared" si="100"/>
        <v>3.9039802596287951</v>
      </c>
      <c r="X158" s="264">
        <f t="shared" si="101"/>
        <v>3.9039802596287951</v>
      </c>
      <c r="Y158" s="264">
        <f t="shared" si="102"/>
        <v>3.9039802596287951</v>
      </c>
      <c r="Z158" s="264">
        <f t="shared" si="103"/>
        <v>3.9040564013487282</v>
      </c>
      <c r="AA158" s="264">
        <f t="shared" si="104"/>
        <v>4.9040564013487282</v>
      </c>
      <c r="AB158" s="264">
        <f t="shared" si="105"/>
        <v>4.9040564013487282</v>
      </c>
      <c r="AC158" s="264">
        <f t="shared" si="106"/>
        <v>4.9040564013487282</v>
      </c>
      <c r="AD158" s="264">
        <f t="shared" si="107"/>
        <v>0.90405640134872756</v>
      </c>
      <c r="AE158" s="264">
        <f t="shared" si="108"/>
        <v>3.9040564013487282</v>
      </c>
      <c r="AF158" s="264">
        <f t="shared" si="109"/>
        <v>3.9040564013487282</v>
      </c>
      <c r="AG158" s="264">
        <f t="shared" si="110"/>
        <v>3.9040564013487282</v>
      </c>
      <c r="AH158" s="264">
        <f t="shared" si="111"/>
        <v>3.9040564013487282</v>
      </c>
      <c r="AI158" s="265">
        <f t="shared" si="94"/>
        <v>3.9040373659187444</v>
      </c>
      <c r="AJ158" s="266">
        <f t="shared" si="95"/>
        <v>46.848448391024931</v>
      </c>
      <c r="AK158" s="253"/>
      <c r="AM158" s="241">
        <v>1</v>
      </c>
      <c r="AN158" s="240">
        <f t="shared" si="96"/>
        <v>3.9040373659187444</v>
      </c>
      <c r="AO158" s="241">
        <v>0</v>
      </c>
      <c r="AP158" s="240">
        <f t="shared" si="97"/>
        <v>0</v>
      </c>
      <c r="AQ158" s="241">
        <v>0</v>
      </c>
      <c r="AR158" s="240">
        <f t="shared" si="98"/>
        <v>0</v>
      </c>
      <c r="AS158" s="241">
        <v>0</v>
      </c>
      <c r="AT158" s="240">
        <f t="shared" si="99"/>
        <v>0</v>
      </c>
    </row>
    <row r="159" spans="1:46" s="274" customFormat="1" x14ac:dyDescent="0.2">
      <c r="A159" s="274" t="str">
        <f t="shared" si="91"/>
        <v>allrecyclingCRY90EOW</v>
      </c>
      <c r="B159" s="241" t="str">
        <f t="shared" si="92"/>
        <v>WashrecyclingCRY90EOW</v>
      </c>
      <c r="C159" s="232" t="s">
        <v>492</v>
      </c>
      <c r="D159" s="232" t="s">
        <v>575</v>
      </c>
      <c r="E159" s="238">
        <v>47.739999999999995</v>
      </c>
      <c r="F159" s="238">
        <v>50.13</v>
      </c>
      <c r="G159" s="238">
        <v>50.13</v>
      </c>
      <c r="I159" s="243">
        <v>716.1</v>
      </c>
      <c r="J159" s="243">
        <v>716.1</v>
      </c>
      <c r="K159" s="243">
        <v>668.36</v>
      </c>
      <c r="L159" s="243">
        <v>701.82</v>
      </c>
      <c r="M159" s="243">
        <v>651.69000000000005</v>
      </c>
      <c r="N159" s="243">
        <v>651.69000000000005</v>
      </c>
      <c r="O159" s="243">
        <v>651.69000000000005</v>
      </c>
      <c r="P159" s="243">
        <v>877.28</v>
      </c>
      <c r="Q159" s="243">
        <v>802.08</v>
      </c>
      <c r="R159" s="243">
        <v>802.08</v>
      </c>
      <c r="S159" s="243">
        <v>777.02</v>
      </c>
      <c r="T159" s="243">
        <v>751.95</v>
      </c>
      <c r="U159" s="263">
        <f t="shared" si="93"/>
        <v>8767.86</v>
      </c>
      <c r="W159" s="264">
        <f t="shared" si="100"/>
        <v>15.000000000000002</v>
      </c>
      <c r="X159" s="264">
        <f t="shared" si="101"/>
        <v>15.000000000000002</v>
      </c>
      <c r="Y159" s="264">
        <f t="shared" si="102"/>
        <v>14.000000000000002</v>
      </c>
      <c r="Z159" s="264">
        <f t="shared" si="103"/>
        <v>14</v>
      </c>
      <c r="AA159" s="264">
        <f t="shared" si="104"/>
        <v>13</v>
      </c>
      <c r="AB159" s="264">
        <f t="shared" si="105"/>
        <v>13</v>
      </c>
      <c r="AC159" s="264">
        <f t="shared" si="106"/>
        <v>13</v>
      </c>
      <c r="AD159" s="264">
        <f t="shared" si="107"/>
        <v>17.500099740674244</v>
      </c>
      <c r="AE159" s="264">
        <f t="shared" si="108"/>
        <v>16</v>
      </c>
      <c r="AF159" s="264">
        <f t="shared" si="109"/>
        <v>16</v>
      </c>
      <c r="AG159" s="264">
        <f t="shared" si="110"/>
        <v>15.500099740674246</v>
      </c>
      <c r="AH159" s="264">
        <f t="shared" si="111"/>
        <v>15</v>
      </c>
      <c r="AI159" s="265">
        <f t="shared" si="94"/>
        <v>14.750016623445708</v>
      </c>
      <c r="AJ159" s="266">
        <f t="shared" si="95"/>
        <v>177.00019948134849</v>
      </c>
      <c r="AK159" s="253"/>
      <c r="AM159" s="241">
        <v>1</v>
      </c>
      <c r="AN159" s="240">
        <f t="shared" si="96"/>
        <v>14.750016623445708</v>
      </c>
      <c r="AO159" s="241">
        <v>0</v>
      </c>
      <c r="AP159" s="240">
        <f t="shared" si="97"/>
        <v>0</v>
      </c>
      <c r="AQ159" s="241">
        <v>0</v>
      </c>
      <c r="AR159" s="240">
        <f t="shared" si="98"/>
        <v>0</v>
      </c>
      <c r="AS159" s="241">
        <v>0</v>
      </c>
      <c r="AT159" s="240">
        <f t="shared" si="99"/>
        <v>0</v>
      </c>
    </row>
    <row r="160" spans="1:46" s="274" customFormat="1" x14ac:dyDescent="0.2">
      <c r="A160" s="274" t="str">
        <f t="shared" si="91"/>
        <v>allrecyclingCRY901X2</v>
      </c>
      <c r="B160" s="241" t="str">
        <f t="shared" si="92"/>
        <v>WashrecyclingCRY901X2</v>
      </c>
      <c r="C160" s="232" t="s">
        <v>494</v>
      </c>
      <c r="D160" s="232" t="s">
        <v>577</v>
      </c>
      <c r="E160" s="238">
        <v>104.57</v>
      </c>
      <c r="F160" s="238">
        <v>109.79999999999998</v>
      </c>
      <c r="G160" s="238">
        <v>109.79999999999998</v>
      </c>
      <c r="I160" s="243">
        <v>313.70999999999998</v>
      </c>
      <c r="J160" s="243">
        <v>313.70999999999998</v>
      </c>
      <c r="K160" s="243">
        <v>313.70999999999998</v>
      </c>
      <c r="L160" s="243">
        <v>329.4</v>
      </c>
      <c r="M160" s="243">
        <v>329.4</v>
      </c>
      <c r="N160" s="243">
        <v>329.4</v>
      </c>
      <c r="O160" s="243">
        <v>329.4</v>
      </c>
      <c r="P160" s="243">
        <v>329.4</v>
      </c>
      <c r="Q160" s="243">
        <v>329.4</v>
      </c>
      <c r="R160" s="243">
        <v>329.4</v>
      </c>
      <c r="S160" s="243">
        <v>329.4</v>
      </c>
      <c r="T160" s="243">
        <v>329.4</v>
      </c>
      <c r="U160" s="263">
        <f t="shared" si="93"/>
        <v>3905.7300000000005</v>
      </c>
      <c r="W160" s="264">
        <f t="shared" si="100"/>
        <v>3</v>
      </c>
      <c r="X160" s="264">
        <f t="shared" si="101"/>
        <v>3</v>
      </c>
      <c r="Y160" s="264">
        <f t="shared" si="102"/>
        <v>3</v>
      </c>
      <c r="Z160" s="264">
        <f t="shared" si="103"/>
        <v>3.0000000000000004</v>
      </c>
      <c r="AA160" s="264">
        <f t="shared" si="104"/>
        <v>3.0000000000000004</v>
      </c>
      <c r="AB160" s="264">
        <f t="shared" si="105"/>
        <v>3.0000000000000004</v>
      </c>
      <c r="AC160" s="264">
        <f t="shared" si="106"/>
        <v>3.0000000000000004</v>
      </c>
      <c r="AD160" s="264">
        <f t="shared" si="107"/>
        <v>3.0000000000000004</v>
      </c>
      <c r="AE160" s="264">
        <f t="shared" si="108"/>
        <v>3.0000000000000004</v>
      </c>
      <c r="AF160" s="264">
        <f t="shared" si="109"/>
        <v>3.0000000000000004</v>
      </c>
      <c r="AG160" s="264">
        <f t="shared" si="110"/>
        <v>3.0000000000000004</v>
      </c>
      <c r="AH160" s="264">
        <f t="shared" si="111"/>
        <v>3.0000000000000004</v>
      </c>
      <c r="AI160" s="265">
        <f t="shared" si="94"/>
        <v>3</v>
      </c>
      <c r="AJ160" s="266">
        <f t="shared" si="95"/>
        <v>36</v>
      </c>
      <c r="AK160" s="253"/>
      <c r="AM160" s="241">
        <v>2</v>
      </c>
      <c r="AN160" s="240">
        <f t="shared" si="96"/>
        <v>6</v>
      </c>
      <c r="AO160" s="241">
        <v>0</v>
      </c>
      <c r="AP160" s="240">
        <f t="shared" si="97"/>
        <v>0</v>
      </c>
      <c r="AQ160" s="241">
        <v>0</v>
      </c>
      <c r="AR160" s="240">
        <f t="shared" si="98"/>
        <v>0</v>
      </c>
      <c r="AS160" s="241">
        <v>0</v>
      </c>
      <c r="AT160" s="240">
        <f t="shared" si="99"/>
        <v>0</v>
      </c>
    </row>
    <row r="161" spans="1:46" s="274" customFormat="1" x14ac:dyDescent="0.2">
      <c r="A161" s="274" t="str">
        <f t="shared" si="91"/>
        <v>allrecyclingCRY902X2</v>
      </c>
      <c r="B161" s="241" t="str">
        <f>"Wash"&amp;"recycling"&amp;C161</f>
        <v>WashrecyclingCRY902X2</v>
      </c>
      <c r="C161" s="232" t="s">
        <v>1068</v>
      </c>
      <c r="D161" s="232" t="s">
        <v>1069</v>
      </c>
      <c r="E161" s="238">
        <v>208.96</v>
      </c>
      <c r="F161" s="238">
        <v>219.41000000000003</v>
      </c>
      <c r="G161" s="238">
        <v>219.41000000000003</v>
      </c>
      <c r="I161" s="243">
        <v>417.92</v>
      </c>
      <c r="J161" s="243">
        <v>417.92</v>
      </c>
      <c r="K161" s="243">
        <v>417.92</v>
      </c>
      <c r="L161" s="243">
        <v>438.82</v>
      </c>
      <c r="M161" s="243">
        <v>438.82</v>
      </c>
      <c r="N161" s="243">
        <v>438.82</v>
      </c>
      <c r="O161" s="243">
        <v>438.82</v>
      </c>
      <c r="P161" s="243">
        <v>438.82</v>
      </c>
      <c r="Q161" s="243">
        <v>438.82</v>
      </c>
      <c r="R161" s="243">
        <v>438.82</v>
      </c>
      <c r="S161" s="243">
        <v>438.82</v>
      </c>
      <c r="T161" s="243">
        <v>438.82</v>
      </c>
      <c r="U161" s="263">
        <f t="shared" si="93"/>
        <v>5203.1400000000003</v>
      </c>
      <c r="W161" s="264">
        <f t="shared" si="100"/>
        <v>2</v>
      </c>
      <c r="X161" s="264">
        <f t="shared" si="101"/>
        <v>2</v>
      </c>
      <c r="Y161" s="264">
        <f t="shared" si="102"/>
        <v>2</v>
      </c>
      <c r="Z161" s="264">
        <f t="shared" si="103"/>
        <v>1.9999999999999998</v>
      </c>
      <c r="AA161" s="264">
        <f t="shared" si="104"/>
        <v>1.9999999999999998</v>
      </c>
      <c r="AB161" s="264">
        <f t="shared" si="105"/>
        <v>1.9999999999999998</v>
      </c>
      <c r="AC161" s="264">
        <f t="shared" si="106"/>
        <v>1.9999999999999998</v>
      </c>
      <c r="AD161" s="264">
        <f t="shared" si="107"/>
        <v>1.9999999999999998</v>
      </c>
      <c r="AE161" s="264">
        <f t="shared" si="108"/>
        <v>1.9999999999999998</v>
      </c>
      <c r="AF161" s="264">
        <f t="shared" si="109"/>
        <v>1.9999999999999998</v>
      </c>
      <c r="AG161" s="264">
        <f t="shared" si="110"/>
        <v>1.9999999999999998</v>
      </c>
      <c r="AH161" s="264">
        <f t="shared" si="111"/>
        <v>1.9999999999999998</v>
      </c>
      <c r="AI161" s="265">
        <f t="shared" si="94"/>
        <v>2</v>
      </c>
      <c r="AJ161" s="266">
        <f t="shared" si="95"/>
        <v>24</v>
      </c>
      <c r="AK161" s="253"/>
      <c r="AM161" s="241">
        <v>2</v>
      </c>
      <c r="AN161" s="240">
        <f t="shared" si="96"/>
        <v>4</v>
      </c>
      <c r="AO161" s="241">
        <v>0</v>
      </c>
      <c r="AP161" s="240">
        <f t="shared" si="97"/>
        <v>0</v>
      </c>
      <c r="AQ161" s="241">
        <v>0</v>
      </c>
      <c r="AR161" s="240">
        <f t="shared" si="98"/>
        <v>0</v>
      </c>
      <c r="AS161" s="241">
        <v>0</v>
      </c>
      <c r="AT161" s="240">
        <f t="shared" si="99"/>
        <v>0</v>
      </c>
    </row>
    <row r="162" spans="1:46" s="274" customFormat="1" x14ac:dyDescent="0.2">
      <c r="A162" s="274" t="str">
        <f t="shared" si="91"/>
        <v>allrecyclingCRY90EOW2</v>
      </c>
      <c r="B162" s="241" t="str">
        <f>"Wash"&amp;"recycling"&amp;C162</f>
        <v>WashrecyclingCRY90EOW2</v>
      </c>
      <c r="C162" s="232" t="s">
        <v>495</v>
      </c>
      <c r="D162" s="232" t="s">
        <v>578</v>
      </c>
      <c r="E162" s="238">
        <v>59.13</v>
      </c>
      <c r="F162" s="238">
        <v>62.090000000000018</v>
      </c>
      <c r="G162" s="238">
        <v>62.090000000000018</v>
      </c>
      <c r="I162" s="243">
        <v>118.26</v>
      </c>
      <c r="J162" s="243">
        <v>118.26</v>
      </c>
      <c r="K162" s="243">
        <v>118.26</v>
      </c>
      <c r="L162" s="243">
        <v>124.18</v>
      </c>
      <c r="M162" s="243">
        <v>124.18</v>
      </c>
      <c r="N162" s="243">
        <v>124.18</v>
      </c>
      <c r="O162" s="243">
        <v>124.18</v>
      </c>
      <c r="P162" s="243">
        <v>124.18</v>
      </c>
      <c r="Q162" s="243">
        <v>124.18</v>
      </c>
      <c r="R162" s="243">
        <v>124.18</v>
      </c>
      <c r="S162" s="243">
        <v>124.18</v>
      </c>
      <c r="T162" s="243">
        <v>186.27</v>
      </c>
      <c r="U162" s="263">
        <f t="shared" si="93"/>
        <v>1534.4900000000005</v>
      </c>
      <c r="W162" s="264">
        <f t="shared" si="100"/>
        <v>2</v>
      </c>
      <c r="X162" s="264">
        <f t="shared" si="101"/>
        <v>2</v>
      </c>
      <c r="Y162" s="264">
        <f t="shared" si="102"/>
        <v>2</v>
      </c>
      <c r="Z162" s="264">
        <f t="shared" si="103"/>
        <v>1.9999999999999996</v>
      </c>
      <c r="AA162" s="264">
        <f t="shared" si="104"/>
        <v>1.9999999999999996</v>
      </c>
      <c r="AB162" s="264">
        <f t="shared" si="105"/>
        <v>1.9999999999999996</v>
      </c>
      <c r="AC162" s="264">
        <f t="shared" si="106"/>
        <v>1.9999999999999996</v>
      </c>
      <c r="AD162" s="264">
        <f t="shared" si="107"/>
        <v>1.9999999999999996</v>
      </c>
      <c r="AE162" s="264">
        <f t="shared" si="108"/>
        <v>1.9999999999999996</v>
      </c>
      <c r="AF162" s="264">
        <f t="shared" si="109"/>
        <v>1.9999999999999996</v>
      </c>
      <c r="AG162" s="264">
        <f t="shared" si="110"/>
        <v>1.9999999999999996</v>
      </c>
      <c r="AH162" s="264">
        <f t="shared" si="111"/>
        <v>2.9999999999999991</v>
      </c>
      <c r="AI162" s="265">
        <f t="shared" si="94"/>
        <v>2.0833333333333335</v>
      </c>
      <c r="AJ162" s="266">
        <f t="shared" si="95"/>
        <v>25</v>
      </c>
      <c r="AK162" s="253"/>
      <c r="AM162" s="241">
        <v>2</v>
      </c>
      <c r="AN162" s="240">
        <f t="shared" si="96"/>
        <v>4.166666666666667</v>
      </c>
      <c r="AO162" s="241">
        <v>0</v>
      </c>
      <c r="AP162" s="240">
        <f t="shared" si="97"/>
        <v>0</v>
      </c>
      <c r="AQ162" s="241">
        <v>0</v>
      </c>
      <c r="AR162" s="240">
        <f t="shared" si="98"/>
        <v>0</v>
      </c>
      <c r="AS162" s="241">
        <v>0</v>
      </c>
      <c r="AT162" s="240">
        <f t="shared" si="99"/>
        <v>0</v>
      </c>
    </row>
    <row r="163" spans="1:46" s="274" customFormat="1" x14ac:dyDescent="0.2">
      <c r="A163" s="274" t="str">
        <f>"all"&amp;"recycling"&amp;C163</f>
        <v>allrecyclingCRYGLASS1X</v>
      </c>
      <c r="B163" s="241" t="str">
        <f>"Wash"&amp;"recycling"&amp;C163</f>
        <v>WashrecyclingCRYGLASS1X</v>
      </c>
      <c r="C163" s="232" t="s">
        <v>497</v>
      </c>
      <c r="D163" s="232" t="s">
        <v>580</v>
      </c>
      <c r="E163" s="238">
        <v>31.83</v>
      </c>
      <c r="F163" s="238">
        <v>33.420000000000009</v>
      </c>
      <c r="G163" s="238">
        <v>33.420000000000009</v>
      </c>
      <c r="I163" s="243">
        <v>381.96</v>
      </c>
      <c r="J163" s="243">
        <v>405.83</v>
      </c>
      <c r="K163" s="243">
        <v>413.79</v>
      </c>
      <c r="L163" s="243">
        <v>434.46</v>
      </c>
      <c r="M163" s="243">
        <v>434.46</v>
      </c>
      <c r="N163" s="243">
        <v>434.46</v>
      </c>
      <c r="O163" s="243">
        <v>434.46</v>
      </c>
      <c r="P163" s="243">
        <v>434.46</v>
      </c>
      <c r="Q163" s="243">
        <v>367.62</v>
      </c>
      <c r="R163" s="243">
        <v>401.04</v>
      </c>
      <c r="S163" s="243">
        <v>401.04</v>
      </c>
      <c r="T163" s="243">
        <v>392.69</v>
      </c>
      <c r="U163" s="263">
        <f>SUM(I163:T163)</f>
        <v>4936.2699999999995</v>
      </c>
      <c r="W163" s="264">
        <f t="shared" si="100"/>
        <v>12</v>
      </c>
      <c r="X163" s="264">
        <f t="shared" si="101"/>
        <v>12.749921457744266</v>
      </c>
      <c r="Y163" s="264">
        <f t="shared" si="102"/>
        <v>13.000000000000002</v>
      </c>
      <c r="Z163" s="264">
        <f t="shared" si="103"/>
        <v>12.999999999999996</v>
      </c>
      <c r="AA163" s="264">
        <f t="shared" si="104"/>
        <v>12.999999999999996</v>
      </c>
      <c r="AB163" s="264">
        <f t="shared" si="105"/>
        <v>12.999999999999996</v>
      </c>
      <c r="AC163" s="264">
        <f t="shared" si="106"/>
        <v>12.999999999999996</v>
      </c>
      <c r="AD163" s="264">
        <f t="shared" si="107"/>
        <v>12.999999999999996</v>
      </c>
      <c r="AE163" s="264">
        <f t="shared" si="108"/>
        <v>10.999999999999996</v>
      </c>
      <c r="AF163" s="264">
        <f t="shared" si="109"/>
        <v>11.999999999999998</v>
      </c>
      <c r="AG163" s="264">
        <f t="shared" si="110"/>
        <v>11.999999999999998</v>
      </c>
      <c r="AH163" s="264">
        <f t="shared" si="111"/>
        <v>11.750149611011368</v>
      </c>
      <c r="AI163" s="265">
        <f>+IFERROR(AVERAGE(W163:AH163),0)</f>
        <v>12.458339255729635</v>
      </c>
      <c r="AJ163" s="266">
        <f>SUM(W163:AH163)</f>
        <v>149.50007106875563</v>
      </c>
      <c r="AK163" s="253"/>
      <c r="AM163" s="241">
        <v>1</v>
      </c>
      <c r="AN163" s="240">
        <f t="shared" si="96"/>
        <v>12.458339255729635</v>
      </c>
      <c r="AO163" s="241">
        <v>0</v>
      </c>
      <c r="AP163" s="240">
        <f t="shared" si="97"/>
        <v>0</v>
      </c>
      <c r="AQ163" s="241">
        <v>0</v>
      </c>
      <c r="AR163" s="240">
        <f t="shared" si="98"/>
        <v>0</v>
      </c>
      <c r="AS163" s="241">
        <v>0</v>
      </c>
      <c r="AT163" s="240">
        <f>+$AI163*AS163</f>
        <v>0</v>
      </c>
    </row>
    <row r="164" spans="1:46" s="274" customFormat="1" x14ac:dyDescent="0.2">
      <c r="A164" s="274" t="str">
        <f t="shared" si="91"/>
        <v>allrecyclingCRY1YGLS1X</v>
      </c>
      <c r="B164" s="241" t="str">
        <f t="shared" si="92"/>
        <v>WashrecyclingCRY1YGLS1X</v>
      </c>
      <c r="C164" s="232" t="s">
        <v>1121</v>
      </c>
      <c r="D164" s="232" t="s">
        <v>1122</v>
      </c>
      <c r="E164" s="238">
        <v>87.21</v>
      </c>
      <c r="F164" s="238">
        <v>91.57</v>
      </c>
      <c r="G164" s="238">
        <v>91.57</v>
      </c>
      <c r="I164" s="243">
        <v>0</v>
      </c>
      <c r="J164" s="243">
        <v>0</v>
      </c>
      <c r="K164" s="243">
        <v>0</v>
      </c>
      <c r="L164" s="243">
        <v>0</v>
      </c>
      <c r="M164" s="243">
        <v>0</v>
      </c>
      <c r="N164" s="243">
        <v>91.57</v>
      </c>
      <c r="O164" s="243">
        <v>91.57</v>
      </c>
      <c r="P164" s="243">
        <v>45.79</v>
      </c>
      <c r="Q164" s="243">
        <v>0</v>
      </c>
      <c r="R164" s="243">
        <v>0</v>
      </c>
      <c r="S164" s="243">
        <v>0</v>
      </c>
      <c r="T164" s="243">
        <v>0</v>
      </c>
      <c r="U164" s="263">
        <f t="shared" si="93"/>
        <v>228.92999999999998</v>
      </c>
      <c r="W164" s="264">
        <f t="shared" si="100"/>
        <v>0</v>
      </c>
      <c r="X164" s="264">
        <f t="shared" si="101"/>
        <v>0</v>
      </c>
      <c r="Y164" s="264">
        <f t="shared" si="102"/>
        <v>0</v>
      </c>
      <c r="Z164" s="264">
        <f t="shared" si="103"/>
        <v>0</v>
      </c>
      <c r="AA164" s="264">
        <f t="shared" si="104"/>
        <v>0</v>
      </c>
      <c r="AB164" s="264">
        <f t="shared" si="105"/>
        <v>1</v>
      </c>
      <c r="AC164" s="264">
        <f t="shared" si="106"/>
        <v>1</v>
      </c>
      <c r="AD164" s="264">
        <f t="shared" si="107"/>
        <v>0.50005460303592886</v>
      </c>
      <c r="AE164" s="264">
        <f t="shared" si="108"/>
        <v>0</v>
      </c>
      <c r="AF164" s="264">
        <f t="shared" si="109"/>
        <v>0</v>
      </c>
      <c r="AG164" s="264">
        <f t="shared" si="110"/>
        <v>0</v>
      </c>
      <c r="AH164" s="264">
        <f t="shared" si="111"/>
        <v>0</v>
      </c>
      <c r="AI164" s="265">
        <f t="shared" si="94"/>
        <v>0.2083378835863274</v>
      </c>
      <c r="AJ164" s="266">
        <f t="shared" si="95"/>
        <v>2.5000546030359287</v>
      </c>
      <c r="AK164" s="253"/>
      <c r="AM164" s="241">
        <v>1</v>
      </c>
      <c r="AN164" s="240">
        <f t="shared" si="96"/>
        <v>0.2083378835863274</v>
      </c>
      <c r="AO164" s="241">
        <v>0</v>
      </c>
      <c r="AP164" s="240">
        <f t="shared" si="97"/>
        <v>0</v>
      </c>
      <c r="AQ164" s="241">
        <v>0</v>
      </c>
      <c r="AR164" s="240">
        <f t="shared" si="98"/>
        <v>0</v>
      </c>
      <c r="AS164" s="241">
        <v>0</v>
      </c>
      <c r="AT164" s="240">
        <f t="shared" si="99"/>
        <v>0</v>
      </c>
    </row>
    <row r="165" spans="1:46" s="274" customFormat="1" x14ac:dyDescent="0.2">
      <c r="A165" s="274" t="str">
        <f t="shared" ref="A165:A171" si="112">"all"&amp;"recycling"&amp;C165</f>
        <v>allrecyclingCOMREC</v>
      </c>
      <c r="B165" s="241" t="str">
        <f>"Wash"&amp;"recycling"&amp;C165</f>
        <v>WashrecyclingCOMREC</v>
      </c>
      <c r="C165" s="232" t="s">
        <v>525</v>
      </c>
      <c r="D165" s="232" t="s">
        <v>605</v>
      </c>
      <c r="E165" s="238">
        <v>63.65</v>
      </c>
      <c r="F165" s="238">
        <v>63.65</v>
      </c>
      <c r="G165" s="238">
        <v>63.65</v>
      </c>
      <c r="I165" s="243">
        <v>886.43</v>
      </c>
      <c r="J165" s="243">
        <v>886.43</v>
      </c>
      <c r="K165" s="243">
        <v>886.43</v>
      </c>
      <c r="L165" s="243">
        <v>886.43</v>
      </c>
      <c r="M165" s="243">
        <v>886.43</v>
      </c>
      <c r="N165" s="243">
        <v>886.43</v>
      </c>
      <c r="O165" s="243">
        <v>886.43</v>
      </c>
      <c r="P165" s="243">
        <v>886.43</v>
      </c>
      <c r="Q165" s="243">
        <v>886.43</v>
      </c>
      <c r="R165" s="243">
        <v>886.43</v>
      </c>
      <c r="S165" s="243">
        <v>886.43</v>
      </c>
      <c r="T165" s="243">
        <v>886.43</v>
      </c>
      <c r="U165" s="263">
        <f t="shared" si="93"/>
        <v>10637.160000000002</v>
      </c>
      <c r="W165" s="264">
        <f t="shared" si="100"/>
        <v>13.92663000785546</v>
      </c>
      <c r="X165" s="264">
        <f t="shared" si="101"/>
        <v>13.92663000785546</v>
      </c>
      <c r="Y165" s="264">
        <f t="shared" si="102"/>
        <v>13.92663000785546</v>
      </c>
      <c r="Z165" s="264">
        <f t="shared" si="103"/>
        <v>13.92663000785546</v>
      </c>
      <c r="AA165" s="264">
        <f t="shared" si="104"/>
        <v>13.92663000785546</v>
      </c>
      <c r="AB165" s="264">
        <f t="shared" si="105"/>
        <v>13.92663000785546</v>
      </c>
      <c r="AC165" s="264">
        <f t="shared" si="106"/>
        <v>13.92663000785546</v>
      </c>
      <c r="AD165" s="264">
        <f t="shared" si="107"/>
        <v>13.92663000785546</v>
      </c>
      <c r="AE165" s="264">
        <f t="shared" si="108"/>
        <v>13.92663000785546</v>
      </c>
      <c r="AF165" s="264">
        <f t="shared" si="109"/>
        <v>13.92663000785546</v>
      </c>
      <c r="AG165" s="264">
        <f t="shared" si="110"/>
        <v>13.92663000785546</v>
      </c>
      <c r="AH165" s="264">
        <f t="shared" si="111"/>
        <v>13.92663000785546</v>
      </c>
      <c r="AI165" s="265">
        <f t="shared" si="94"/>
        <v>13.926630007855463</v>
      </c>
      <c r="AJ165" s="266">
        <f t="shared" si="95"/>
        <v>167.11956009426555</v>
      </c>
      <c r="AK165" s="253"/>
    </row>
    <row r="166" spans="1:46" s="274" customFormat="1" x14ac:dyDescent="0.2">
      <c r="A166" s="274" t="str">
        <f>"all"&amp;"recycling"&amp;C166</f>
        <v>allrecyclingSFR65G1X</v>
      </c>
      <c r="B166" s="241" t="str">
        <f>"Wash"&amp;"recycling"&amp;C166</f>
        <v>WashrecyclingSFR65G1X</v>
      </c>
      <c r="C166" s="232" t="s">
        <v>1276</v>
      </c>
      <c r="D166" s="232" t="s">
        <v>1365</v>
      </c>
      <c r="E166" s="238">
        <v>63.65</v>
      </c>
      <c r="F166" s="238">
        <v>63.65</v>
      </c>
      <c r="G166" s="238">
        <v>63.65</v>
      </c>
      <c r="I166" s="243">
        <v>506.8</v>
      </c>
      <c r="J166" s="243">
        <v>506.8</v>
      </c>
      <c r="K166" s="243">
        <v>506.8</v>
      </c>
      <c r="L166" s="243">
        <v>506.8</v>
      </c>
      <c r="M166" s="243">
        <v>380.1</v>
      </c>
      <c r="N166" s="243">
        <v>506.8</v>
      </c>
      <c r="O166" s="243">
        <v>506.8</v>
      </c>
      <c r="P166" s="243">
        <v>506.8</v>
      </c>
      <c r="Q166" s="243">
        <v>506.8</v>
      </c>
      <c r="R166" s="243">
        <v>506.8</v>
      </c>
      <c r="S166" s="243">
        <v>506.8</v>
      </c>
      <c r="T166" s="243">
        <v>506.8</v>
      </c>
      <c r="U166" s="263">
        <f>SUM(I166:T166)</f>
        <v>5954.9000000000015</v>
      </c>
      <c r="W166" s="264">
        <f t="shared" si="100"/>
        <v>7.9622937941869605</v>
      </c>
      <c r="X166" s="264">
        <f t="shared" si="101"/>
        <v>7.9622937941869605</v>
      </c>
      <c r="Y166" s="264">
        <f t="shared" si="102"/>
        <v>7.9622937941869605</v>
      </c>
      <c r="Z166" s="264">
        <f t="shared" si="103"/>
        <v>7.9622937941869605</v>
      </c>
      <c r="AA166" s="264">
        <f t="shared" si="104"/>
        <v>5.9717203456402208</v>
      </c>
      <c r="AB166" s="264">
        <f t="shared" si="105"/>
        <v>7.9622937941869605</v>
      </c>
      <c r="AC166" s="264">
        <f t="shared" si="106"/>
        <v>7.9622937941869605</v>
      </c>
      <c r="AD166" s="264">
        <f t="shared" si="107"/>
        <v>7.9622937941869605</v>
      </c>
      <c r="AE166" s="264">
        <f t="shared" si="108"/>
        <v>7.9622937941869605</v>
      </c>
      <c r="AF166" s="264">
        <f t="shared" si="109"/>
        <v>7.9622937941869605</v>
      </c>
      <c r="AG166" s="264">
        <f t="shared" si="110"/>
        <v>7.9622937941869605</v>
      </c>
      <c r="AH166" s="264">
        <f t="shared" si="111"/>
        <v>7.9622937941869605</v>
      </c>
      <c r="AI166" s="265">
        <f>+IFERROR(AVERAGE(W166:AH166),0)</f>
        <v>7.796412673474733</v>
      </c>
      <c r="AJ166" s="266">
        <f>SUM(W166:AH166)</f>
        <v>93.556952081696792</v>
      </c>
      <c r="AK166" s="253"/>
    </row>
    <row r="167" spans="1:46" x14ac:dyDescent="0.2">
      <c r="A167" s="40" t="str">
        <f>"all"&amp;"recycling"&amp;C167</f>
        <v>allrecyclingCRYEX4YD</v>
      </c>
      <c r="B167" s="1" t="str">
        <f>"Wash"&amp;"recycling"&amp;C167</f>
        <v>WashrecyclingCRYEX4YD</v>
      </c>
      <c r="C167" s="58" t="s">
        <v>532</v>
      </c>
      <c r="D167" s="58" t="s">
        <v>612</v>
      </c>
      <c r="E167" s="11">
        <v>41.5</v>
      </c>
      <c r="F167" s="11">
        <v>43.579999999999991</v>
      </c>
      <c r="G167" s="11">
        <v>43.579999999999991</v>
      </c>
      <c r="I167" s="14">
        <v>0</v>
      </c>
      <c r="J167" s="14">
        <v>0</v>
      </c>
      <c r="K167" s="14">
        <v>41.5</v>
      </c>
      <c r="L167" s="14">
        <v>0</v>
      </c>
      <c r="M167" s="14">
        <v>0</v>
      </c>
      <c r="N167" s="14">
        <v>0</v>
      </c>
      <c r="O167" s="14">
        <v>43.58</v>
      </c>
      <c r="P167" s="14">
        <v>0</v>
      </c>
      <c r="Q167" s="14">
        <v>0</v>
      </c>
      <c r="R167" s="14">
        <v>0</v>
      </c>
      <c r="S167" s="14">
        <v>0</v>
      </c>
      <c r="T167" s="14">
        <v>0</v>
      </c>
      <c r="U167" s="73">
        <f>SUM(I167:T167)</f>
        <v>85.08</v>
      </c>
      <c r="W167" s="49">
        <f t="shared" si="100"/>
        <v>0</v>
      </c>
      <c r="X167" s="49">
        <f t="shared" si="101"/>
        <v>0</v>
      </c>
      <c r="Y167" s="49">
        <f t="shared" si="102"/>
        <v>1</v>
      </c>
      <c r="Z167" s="49">
        <f t="shared" si="103"/>
        <v>0</v>
      </c>
      <c r="AA167" s="49">
        <f t="shared" si="104"/>
        <v>0</v>
      </c>
      <c r="AB167" s="49">
        <f t="shared" si="105"/>
        <v>0</v>
      </c>
      <c r="AC167" s="49">
        <f t="shared" si="106"/>
        <v>1.0000000000000002</v>
      </c>
      <c r="AD167" s="49">
        <f t="shared" si="107"/>
        <v>0</v>
      </c>
      <c r="AE167" s="49">
        <f t="shared" si="108"/>
        <v>0</v>
      </c>
      <c r="AF167" s="49">
        <f t="shared" si="109"/>
        <v>0</v>
      </c>
      <c r="AG167" s="49">
        <f t="shared" si="110"/>
        <v>0</v>
      </c>
      <c r="AH167" s="49">
        <f t="shared" si="111"/>
        <v>0</v>
      </c>
      <c r="AI167" s="47">
        <f>+IFERROR(AVERAGE(W167:AH167),0)</f>
        <v>0.16666666666666666</v>
      </c>
      <c r="AJ167" s="134">
        <f>SUM(W167:AH167)</f>
        <v>2</v>
      </c>
      <c r="AK167" s="45"/>
    </row>
    <row r="168" spans="1:46" x14ac:dyDescent="0.2">
      <c r="A168" s="40" t="str">
        <f t="shared" si="112"/>
        <v>allrecyclingCRYEX8YD</v>
      </c>
      <c r="B168" s="1" t="str">
        <f>"Wash"&amp;"recycling"&amp;C168</f>
        <v>WashrecyclingCRYEX8YD</v>
      </c>
      <c r="C168" s="58" t="s">
        <v>535</v>
      </c>
      <c r="D168" s="58" t="s">
        <v>615</v>
      </c>
      <c r="E168" s="11">
        <v>46.54</v>
      </c>
      <c r="F168" s="11">
        <v>48.87</v>
      </c>
      <c r="G168" s="11">
        <v>48.87</v>
      </c>
      <c r="I168" s="14">
        <v>0</v>
      </c>
      <c r="J168" s="14">
        <v>0</v>
      </c>
      <c r="K168" s="14">
        <v>46.54</v>
      </c>
      <c r="L168" s="14">
        <v>0</v>
      </c>
      <c r="M168" s="14">
        <v>0</v>
      </c>
      <c r="N168" s="14">
        <v>0</v>
      </c>
      <c r="O168" s="14">
        <v>48.87</v>
      </c>
      <c r="P168" s="14">
        <v>0</v>
      </c>
      <c r="Q168" s="14">
        <v>0</v>
      </c>
      <c r="R168" s="14">
        <v>48.87</v>
      </c>
      <c r="S168" s="14">
        <v>0</v>
      </c>
      <c r="T168" s="14">
        <v>0</v>
      </c>
      <c r="U168" s="73">
        <f t="shared" si="93"/>
        <v>144.28</v>
      </c>
      <c r="W168" s="49">
        <f t="shared" si="100"/>
        <v>0</v>
      </c>
      <c r="X168" s="49">
        <f t="shared" si="101"/>
        <v>0</v>
      </c>
      <c r="Y168" s="49">
        <f t="shared" si="102"/>
        <v>1</v>
      </c>
      <c r="Z168" s="49">
        <f t="shared" si="103"/>
        <v>0</v>
      </c>
      <c r="AA168" s="49">
        <f t="shared" si="104"/>
        <v>0</v>
      </c>
      <c r="AB168" s="49">
        <f t="shared" si="105"/>
        <v>0</v>
      </c>
      <c r="AC168" s="49">
        <f t="shared" si="106"/>
        <v>1</v>
      </c>
      <c r="AD168" s="49">
        <f t="shared" si="107"/>
        <v>0</v>
      </c>
      <c r="AE168" s="49">
        <f t="shared" si="108"/>
        <v>0</v>
      </c>
      <c r="AF168" s="49">
        <f t="shared" si="109"/>
        <v>1</v>
      </c>
      <c r="AG168" s="49">
        <f t="shared" si="110"/>
        <v>0</v>
      </c>
      <c r="AH168" s="49">
        <f t="shared" si="111"/>
        <v>0</v>
      </c>
      <c r="AI168" s="47">
        <f t="shared" si="94"/>
        <v>0.25</v>
      </c>
      <c r="AJ168" s="134">
        <f t="shared" si="95"/>
        <v>3</v>
      </c>
      <c r="AK168" s="45"/>
    </row>
    <row r="169" spans="1:46" s="45" customFormat="1" x14ac:dyDescent="0.2">
      <c r="A169" s="40" t="str">
        <f t="shared" si="112"/>
        <v>allrecyclingCRPLACE</v>
      </c>
      <c r="B169" s="1" t="str">
        <f>"Washresidential Extras"&amp;C169</f>
        <v>Washresidential ExtrasCRPLACE</v>
      </c>
      <c r="C169" s="58" t="s">
        <v>522</v>
      </c>
      <c r="D169" s="58" t="s">
        <v>602</v>
      </c>
      <c r="E169" s="11"/>
      <c r="F169" s="11"/>
      <c r="G169" s="11"/>
      <c r="H169" s="55"/>
      <c r="I169" s="14">
        <v>0</v>
      </c>
      <c r="J169" s="14">
        <v>0</v>
      </c>
      <c r="K169" s="14">
        <v>0</v>
      </c>
      <c r="L169" s="14">
        <v>0</v>
      </c>
      <c r="M169" s="14">
        <v>0</v>
      </c>
      <c r="N169" s="14">
        <v>0</v>
      </c>
      <c r="O169" s="14">
        <v>0</v>
      </c>
      <c r="P169" s="14">
        <v>0</v>
      </c>
      <c r="Q169" s="14">
        <v>0</v>
      </c>
      <c r="R169" s="14">
        <v>0</v>
      </c>
      <c r="S169" s="14">
        <v>0</v>
      </c>
      <c r="T169" s="14">
        <v>0</v>
      </c>
      <c r="U169" s="73">
        <f>SUM(I169:T169)</f>
        <v>0</v>
      </c>
      <c r="W169" s="49">
        <f t="shared" si="100"/>
        <v>0</v>
      </c>
      <c r="X169" s="49">
        <f t="shared" si="101"/>
        <v>0</v>
      </c>
      <c r="Y169" s="49">
        <f t="shared" si="102"/>
        <v>0</v>
      </c>
      <c r="Z169" s="49">
        <f t="shared" si="103"/>
        <v>0</v>
      </c>
      <c r="AA169" s="49">
        <f t="shared" si="104"/>
        <v>0</v>
      </c>
      <c r="AB169" s="49">
        <f t="shared" si="105"/>
        <v>0</v>
      </c>
      <c r="AC169" s="49">
        <f t="shared" si="106"/>
        <v>0</v>
      </c>
      <c r="AD169" s="49">
        <f t="shared" si="107"/>
        <v>0</v>
      </c>
      <c r="AE169" s="49">
        <f t="shared" si="108"/>
        <v>0</v>
      </c>
      <c r="AF169" s="49">
        <f t="shared" si="109"/>
        <v>0</v>
      </c>
      <c r="AG169" s="49">
        <f t="shared" si="110"/>
        <v>0</v>
      </c>
      <c r="AH169" s="49">
        <f t="shared" si="111"/>
        <v>0</v>
      </c>
      <c r="AI169" s="49">
        <f>+IFERROR(AVERAGE(W169:AH169),0)</f>
        <v>0</v>
      </c>
      <c r="AJ169" s="49">
        <f>SUM(W169:AH169)</f>
        <v>0</v>
      </c>
    </row>
    <row r="170" spans="1:46" s="45" customFormat="1" x14ac:dyDescent="0.2">
      <c r="A170" s="40" t="str">
        <f t="shared" si="112"/>
        <v>allrecyclingCRYTRIP</v>
      </c>
      <c r="B170" s="58" t="s">
        <v>1372</v>
      </c>
      <c r="C170" s="58" t="s">
        <v>536</v>
      </c>
      <c r="D170" s="58" t="s">
        <v>616</v>
      </c>
      <c r="E170" s="11">
        <v>20.72</v>
      </c>
      <c r="F170" s="11">
        <v>21.759999999999994</v>
      </c>
      <c r="G170" s="11">
        <v>21.759999999999994</v>
      </c>
      <c r="H170" s="55"/>
      <c r="I170" s="14">
        <v>0</v>
      </c>
      <c r="J170" s="14">
        <v>0</v>
      </c>
      <c r="K170" s="14">
        <v>0</v>
      </c>
      <c r="L170" s="14">
        <v>0</v>
      </c>
      <c r="M170" s="14">
        <v>0</v>
      </c>
      <c r="N170" s="14">
        <v>0</v>
      </c>
      <c r="O170" s="14">
        <v>0</v>
      </c>
      <c r="P170" s="14">
        <v>0</v>
      </c>
      <c r="Q170" s="14">
        <v>0</v>
      </c>
      <c r="R170" s="14">
        <v>21.76</v>
      </c>
      <c r="S170" s="14">
        <v>21.76</v>
      </c>
      <c r="T170" s="14">
        <v>0</v>
      </c>
      <c r="U170" s="73">
        <f>SUM(I170:T170)</f>
        <v>43.52</v>
      </c>
      <c r="W170" s="49">
        <f t="shared" si="100"/>
        <v>0</v>
      </c>
      <c r="X170" s="49">
        <f t="shared" si="101"/>
        <v>0</v>
      </c>
      <c r="Y170" s="49">
        <f t="shared" si="102"/>
        <v>0</v>
      </c>
      <c r="Z170" s="49">
        <f t="shared" si="103"/>
        <v>0</v>
      </c>
      <c r="AA170" s="49">
        <f t="shared" si="104"/>
        <v>0</v>
      </c>
      <c r="AB170" s="49">
        <f t="shared" si="105"/>
        <v>0</v>
      </c>
      <c r="AC170" s="49">
        <f t="shared" si="106"/>
        <v>0</v>
      </c>
      <c r="AD170" s="49">
        <f t="shared" si="107"/>
        <v>0</v>
      </c>
      <c r="AE170" s="49">
        <f t="shared" si="108"/>
        <v>0</v>
      </c>
      <c r="AF170" s="49">
        <f t="shared" si="109"/>
        <v>1.0000000000000002</v>
      </c>
      <c r="AG170" s="49">
        <f t="shared" si="110"/>
        <v>1.0000000000000002</v>
      </c>
      <c r="AH170" s="49">
        <f t="shared" si="111"/>
        <v>0</v>
      </c>
      <c r="AI170" s="49"/>
      <c r="AJ170" s="49"/>
    </row>
    <row r="171" spans="1:46" x14ac:dyDescent="0.2">
      <c r="A171" s="40" t="str">
        <f t="shared" si="112"/>
        <v>allrecyclingCRY90OC</v>
      </c>
      <c r="B171" s="1" t="str">
        <f t="shared" si="92"/>
        <v>WashrecyclingCRY90OC</v>
      </c>
      <c r="C171" s="58" t="s">
        <v>517</v>
      </c>
      <c r="D171" s="58" t="s">
        <v>598</v>
      </c>
      <c r="E171" s="11">
        <v>11.62</v>
      </c>
      <c r="F171" s="11">
        <v>12.200000000000001</v>
      </c>
      <c r="G171" s="11">
        <v>12.200000000000001</v>
      </c>
      <c r="I171" s="14">
        <v>36.130000000000003</v>
      </c>
      <c r="J171" s="14">
        <v>36.130000000000003</v>
      </c>
      <c r="K171" s="14">
        <v>36.130000000000003</v>
      </c>
      <c r="L171" s="14">
        <v>37.94</v>
      </c>
      <c r="M171" s="14">
        <v>37.94</v>
      </c>
      <c r="N171" s="14">
        <v>37.94</v>
      </c>
      <c r="O171" s="14">
        <v>37.94</v>
      </c>
      <c r="P171" s="14">
        <v>37.94</v>
      </c>
      <c r="Q171" s="14">
        <v>37.94</v>
      </c>
      <c r="R171" s="14">
        <v>37.94</v>
      </c>
      <c r="S171" s="14">
        <v>37.94</v>
      </c>
      <c r="T171" s="14">
        <v>37.94</v>
      </c>
      <c r="U171" s="73">
        <f t="shared" si="93"/>
        <v>449.84999999999997</v>
      </c>
      <c r="W171" s="49">
        <f t="shared" si="100"/>
        <v>3.1092943201376939</v>
      </c>
      <c r="X171" s="49">
        <f t="shared" si="101"/>
        <v>3.1092943201376939</v>
      </c>
      <c r="Y171" s="49">
        <f t="shared" si="102"/>
        <v>3.1092943201376939</v>
      </c>
      <c r="Z171" s="49">
        <f t="shared" si="103"/>
        <v>3.10983606557377</v>
      </c>
      <c r="AA171" s="49">
        <f t="shared" si="104"/>
        <v>3.10983606557377</v>
      </c>
      <c r="AB171" s="49">
        <f t="shared" si="105"/>
        <v>3.10983606557377</v>
      </c>
      <c r="AC171" s="49">
        <f t="shared" si="106"/>
        <v>3.10983606557377</v>
      </c>
      <c r="AD171" s="49">
        <f t="shared" si="107"/>
        <v>3.10983606557377</v>
      </c>
      <c r="AE171" s="49">
        <f t="shared" si="108"/>
        <v>3.10983606557377</v>
      </c>
      <c r="AF171" s="49">
        <f t="shared" si="109"/>
        <v>3.10983606557377</v>
      </c>
      <c r="AG171" s="49">
        <f t="shared" si="110"/>
        <v>3.10983606557377</v>
      </c>
      <c r="AH171" s="49">
        <f t="shared" si="111"/>
        <v>3.10983606557377</v>
      </c>
      <c r="AI171" s="47">
        <f t="shared" si="94"/>
        <v>3.1097006292147511</v>
      </c>
      <c r="AJ171" s="134">
        <f t="shared" si="95"/>
        <v>37.316407550577011</v>
      </c>
      <c r="AK171" s="45"/>
    </row>
    <row r="172" spans="1:46" x14ac:dyDescent="0.2">
      <c r="A172" s="40" t="str">
        <f>"all"&amp;"recycling"&amp;C172</f>
        <v>allrecyclingCRY1.5OC</v>
      </c>
      <c r="B172" s="1" t="str">
        <f>"Wash"&amp;"recycling"&amp;C172</f>
        <v>WashrecyclingCRY1.5OC</v>
      </c>
      <c r="C172" s="58" t="s">
        <v>508</v>
      </c>
      <c r="D172" s="58" t="s">
        <v>590</v>
      </c>
      <c r="E172" s="11">
        <v>40.119999999999997</v>
      </c>
      <c r="F172" s="11">
        <v>42.129999999999995</v>
      </c>
      <c r="G172" s="11">
        <v>42.129999999999995</v>
      </c>
      <c r="I172" s="14">
        <v>40.119999999999997</v>
      </c>
      <c r="J172" s="14">
        <v>40.119999999999997</v>
      </c>
      <c r="K172" s="14">
        <v>40.119999999999997</v>
      </c>
      <c r="L172" s="14">
        <v>42.13</v>
      </c>
      <c r="M172" s="14">
        <v>42.13</v>
      </c>
      <c r="N172" s="14">
        <v>42.13</v>
      </c>
      <c r="O172" s="14">
        <v>42.13</v>
      </c>
      <c r="P172" s="14">
        <v>42.13</v>
      </c>
      <c r="Q172" s="14">
        <v>42.13</v>
      </c>
      <c r="R172" s="14">
        <v>42.13</v>
      </c>
      <c r="S172" s="14">
        <v>42.13</v>
      </c>
      <c r="T172" s="14">
        <v>42.13</v>
      </c>
      <c r="U172" s="73">
        <f t="shared" si="93"/>
        <v>499.53</v>
      </c>
      <c r="W172" s="49">
        <f t="shared" si="100"/>
        <v>1</v>
      </c>
      <c r="X172" s="49">
        <f t="shared" si="101"/>
        <v>1</v>
      </c>
      <c r="Y172" s="49">
        <f t="shared" si="102"/>
        <v>1</v>
      </c>
      <c r="Z172" s="49">
        <f t="shared" si="103"/>
        <v>1.0000000000000002</v>
      </c>
      <c r="AA172" s="49">
        <f t="shared" si="104"/>
        <v>1.0000000000000002</v>
      </c>
      <c r="AB172" s="49">
        <f t="shared" si="105"/>
        <v>1.0000000000000002</v>
      </c>
      <c r="AC172" s="49">
        <f t="shared" si="106"/>
        <v>1.0000000000000002</v>
      </c>
      <c r="AD172" s="49">
        <f t="shared" si="107"/>
        <v>1.0000000000000002</v>
      </c>
      <c r="AE172" s="49">
        <f t="shared" si="108"/>
        <v>1.0000000000000002</v>
      </c>
      <c r="AF172" s="49">
        <f t="shared" si="109"/>
        <v>1.0000000000000002</v>
      </c>
      <c r="AG172" s="49">
        <f t="shared" si="110"/>
        <v>1.0000000000000002</v>
      </c>
      <c r="AH172" s="49">
        <f t="shared" si="111"/>
        <v>1.0000000000000002</v>
      </c>
      <c r="AI172" s="47">
        <f t="shared" si="94"/>
        <v>1</v>
      </c>
      <c r="AJ172" s="134">
        <f t="shared" si="95"/>
        <v>12</v>
      </c>
      <c r="AK172" s="45"/>
    </row>
    <row r="173" spans="1:46" x14ac:dyDescent="0.2">
      <c r="A173" s="40" t="str">
        <f t="shared" si="91"/>
        <v>allrecyclingCRY3YOC</v>
      </c>
      <c r="B173" s="1" t="str">
        <f t="shared" si="92"/>
        <v>WashrecyclingCRY3YOC</v>
      </c>
      <c r="C173" s="58" t="s">
        <v>510</v>
      </c>
      <c r="D173" s="58" t="s">
        <v>592</v>
      </c>
      <c r="E173" s="11">
        <v>45.84</v>
      </c>
      <c r="F173" s="11">
        <v>48.13</v>
      </c>
      <c r="G173" s="11">
        <v>48.13</v>
      </c>
      <c r="I173" s="14">
        <v>72.81</v>
      </c>
      <c r="J173" s="14">
        <v>118.65</v>
      </c>
      <c r="K173" s="14">
        <v>72.81</v>
      </c>
      <c r="L173" s="14">
        <v>76.45</v>
      </c>
      <c r="M173" s="14">
        <v>76.45</v>
      </c>
      <c r="N173" s="14">
        <v>76.45</v>
      </c>
      <c r="O173" s="14">
        <v>76.45</v>
      </c>
      <c r="P173" s="14">
        <v>76.45</v>
      </c>
      <c r="Q173" s="14">
        <v>76.45</v>
      </c>
      <c r="R173" s="14">
        <v>76.45</v>
      </c>
      <c r="S173" s="14">
        <v>76.45</v>
      </c>
      <c r="T173" s="14">
        <v>76.45</v>
      </c>
      <c r="U173" s="73">
        <f t="shared" si="93"/>
        <v>952.32000000000016</v>
      </c>
      <c r="W173" s="49">
        <f t="shared" si="100"/>
        <v>1.588350785340314</v>
      </c>
      <c r="X173" s="49">
        <f t="shared" si="101"/>
        <v>2.5883507853403143</v>
      </c>
      <c r="Y173" s="49">
        <f t="shared" si="102"/>
        <v>1.588350785340314</v>
      </c>
      <c r="Z173" s="49">
        <f t="shared" si="103"/>
        <v>1.5884063993351341</v>
      </c>
      <c r="AA173" s="49">
        <f t="shared" si="104"/>
        <v>1.5884063993351341</v>
      </c>
      <c r="AB173" s="49">
        <f t="shared" si="105"/>
        <v>1.5884063993351341</v>
      </c>
      <c r="AC173" s="49">
        <f t="shared" si="106"/>
        <v>1.5884063993351341</v>
      </c>
      <c r="AD173" s="49">
        <f t="shared" si="107"/>
        <v>1.5884063993351341</v>
      </c>
      <c r="AE173" s="49">
        <f t="shared" si="108"/>
        <v>1.5884063993351341</v>
      </c>
      <c r="AF173" s="49">
        <f t="shared" si="109"/>
        <v>1.5884063993351341</v>
      </c>
      <c r="AG173" s="49">
        <f t="shared" si="110"/>
        <v>1.5884063993351341</v>
      </c>
      <c r="AH173" s="49">
        <f t="shared" si="111"/>
        <v>1.5884063993351341</v>
      </c>
      <c r="AI173" s="47">
        <f t="shared" si="94"/>
        <v>1.6717258291697628</v>
      </c>
      <c r="AJ173" s="134">
        <f t="shared" si="95"/>
        <v>20.060709950037154</v>
      </c>
      <c r="AK173" s="45"/>
    </row>
    <row r="174" spans="1:46" x14ac:dyDescent="0.2">
      <c r="A174" s="40" t="str">
        <f t="shared" si="91"/>
        <v>allrecyclingCRY4YOC</v>
      </c>
      <c r="B174" s="1" t="str">
        <f t="shared" si="92"/>
        <v>WashrecyclingCRY4YOC</v>
      </c>
      <c r="C174" s="58" t="s">
        <v>511</v>
      </c>
      <c r="D174" s="58" t="s">
        <v>593</v>
      </c>
      <c r="E174" s="11">
        <v>54.43</v>
      </c>
      <c r="F174" s="11">
        <v>57.149999999999991</v>
      </c>
      <c r="G174" s="11">
        <v>57.149999999999991</v>
      </c>
      <c r="I174" s="14">
        <v>99.29</v>
      </c>
      <c r="J174" s="14">
        <v>44.86</v>
      </c>
      <c r="K174" s="14">
        <v>44.86</v>
      </c>
      <c r="L174" s="14">
        <v>47.1</v>
      </c>
      <c r="M174" s="14">
        <v>47.1</v>
      </c>
      <c r="N174" s="14">
        <v>47.1</v>
      </c>
      <c r="O174" s="14">
        <v>47.1</v>
      </c>
      <c r="P174" s="14">
        <v>104.25</v>
      </c>
      <c r="Q174" s="14">
        <v>104.25</v>
      </c>
      <c r="R174" s="14">
        <v>104.25</v>
      </c>
      <c r="S174" s="14">
        <v>104.25</v>
      </c>
      <c r="T174" s="14">
        <v>104.25</v>
      </c>
      <c r="U174" s="73">
        <f t="shared" si="93"/>
        <v>898.66000000000008</v>
      </c>
      <c r="W174" s="49">
        <f t="shared" si="100"/>
        <v>1.824177843101231</v>
      </c>
      <c r="X174" s="49">
        <f t="shared" si="101"/>
        <v>0.82417784310123088</v>
      </c>
      <c r="Y174" s="49">
        <f t="shared" si="102"/>
        <v>0.82417784310123088</v>
      </c>
      <c r="Z174" s="49">
        <f t="shared" si="103"/>
        <v>0.82414698162729672</v>
      </c>
      <c r="AA174" s="49">
        <f t="shared" si="104"/>
        <v>0.82414698162729672</v>
      </c>
      <c r="AB174" s="49">
        <f t="shared" si="105"/>
        <v>0.82414698162729672</v>
      </c>
      <c r="AC174" s="49">
        <f t="shared" si="106"/>
        <v>0.82414698162729672</v>
      </c>
      <c r="AD174" s="49">
        <f t="shared" si="107"/>
        <v>1.8241469816272968</v>
      </c>
      <c r="AE174" s="49">
        <f t="shared" si="108"/>
        <v>1.8241469816272968</v>
      </c>
      <c r="AF174" s="49">
        <f t="shared" si="109"/>
        <v>1.8241469816272968</v>
      </c>
      <c r="AG174" s="49">
        <f t="shared" si="110"/>
        <v>1.8241469816272968</v>
      </c>
      <c r="AH174" s="49">
        <f t="shared" si="111"/>
        <v>1.8241469816272968</v>
      </c>
      <c r="AI174" s="47">
        <f t="shared" si="94"/>
        <v>1.3241546969957805</v>
      </c>
      <c r="AJ174" s="134">
        <f t="shared" si="95"/>
        <v>15.889856363949367</v>
      </c>
      <c r="AK174" s="45"/>
    </row>
    <row r="175" spans="1:46" x14ac:dyDescent="0.2">
      <c r="A175" s="40" t="str">
        <f t="shared" si="91"/>
        <v>allrecyclingCRY8YOC</v>
      </c>
      <c r="B175" s="1" t="str">
        <f t="shared" si="92"/>
        <v>WashrecyclingCRY8YOC</v>
      </c>
      <c r="C175" s="58" t="s">
        <v>652</v>
      </c>
      <c r="D175" s="58" t="s">
        <v>656</v>
      </c>
      <c r="E175" s="11">
        <v>63.04</v>
      </c>
      <c r="F175" s="11">
        <v>66.19</v>
      </c>
      <c r="G175" s="11">
        <v>66.19</v>
      </c>
      <c r="I175" s="14">
        <v>63.04</v>
      </c>
      <c r="J175" s="14">
        <v>63.04</v>
      </c>
      <c r="K175" s="14">
        <v>63.04</v>
      </c>
      <c r="L175" s="14">
        <v>66.19</v>
      </c>
      <c r="M175" s="14">
        <v>66.19</v>
      </c>
      <c r="N175" s="14">
        <v>66.19</v>
      </c>
      <c r="O175" s="14">
        <v>66.19</v>
      </c>
      <c r="P175" s="14">
        <v>66.19</v>
      </c>
      <c r="Q175" s="14">
        <v>66.19</v>
      </c>
      <c r="R175" s="14">
        <v>66.19</v>
      </c>
      <c r="S175" s="14">
        <v>66.19</v>
      </c>
      <c r="T175" s="14">
        <v>66.19</v>
      </c>
      <c r="U175" s="73">
        <f t="shared" si="93"/>
        <v>784.83000000000015</v>
      </c>
      <c r="W175" s="49">
        <f t="shared" si="100"/>
        <v>1</v>
      </c>
      <c r="X175" s="49">
        <f t="shared" si="101"/>
        <v>1</v>
      </c>
      <c r="Y175" s="49">
        <f t="shared" si="102"/>
        <v>1</v>
      </c>
      <c r="Z175" s="49">
        <f t="shared" si="103"/>
        <v>1</v>
      </c>
      <c r="AA175" s="49">
        <f t="shared" si="104"/>
        <v>1</v>
      </c>
      <c r="AB175" s="49">
        <f t="shared" si="105"/>
        <v>1</v>
      </c>
      <c r="AC175" s="49">
        <f t="shared" si="106"/>
        <v>1</v>
      </c>
      <c r="AD175" s="49">
        <f t="shared" si="107"/>
        <v>1</v>
      </c>
      <c r="AE175" s="49">
        <f t="shared" si="108"/>
        <v>1</v>
      </c>
      <c r="AF175" s="49">
        <f t="shared" si="109"/>
        <v>1</v>
      </c>
      <c r="AG175" s="49">
        <f t="shared" si="110"/>
        <v>1</v>
      </c>
      <c r="AH175" s="49">
        <f t="shared" si="111"/>
        <v>1</v>
      </c>
      <c r="AI175" s="47">
        <f t="shared" si="94"/>
        <v>1</v>
      </c>
      <c r="AJ175" s="134">
        <f t="shared" si="95"/>
        <v>12</v>
      </c>
      <c r="AK175" s="45"/>
    </row>
    <row r="176" spans="1:46" x14ac:dyDescent="0.2">
      <c r="A176" s="40" t="str">
        <f t="shared" si="91"/>
        <v>allrecycling0CRYEX90</v>
      </c>
      <c r="B176" s="1" t="str">
        <f t="shared" si="92"/>
        <v>Washrecycling0CRYEX90</v>
      </c>
      <c r="C176" s="58" t="s">
        <v>500</v>
      </c>
      <c r="D176" s="58" t="s">
        <v>582</v>
      </c>
      <c r="E176" s="11">
        <v>24.9</v>
      </c>
      <c r="F176" s="11">
        <v>26.150000000000002</v>
      </c>
      <c r="G176" s="11">
        <v>26.150000000000002</v>
      </c>
      <c r="I176" s="14">
        <v>49.8</v>
      </c>
      <c r="J176" s="14">
        <v>0</v>
      </c>
      <c r="K176" s="14">
        <v>24.9</v>
      </c>
      <c r="L176" s="14">
        <v>26.15</v>
      </c>
      <c r="M176" s="14">
        <v>26.15</v>
      </c>
      <c r="N176" s="14">
        <v>0</v>
      </c>
      <c r="O176" s="14">
        <v>0</v>
      </c>
      <c r="P176" s="14">
        <v>26.15</v>
      </c>
      <c r="Q176" s="14">
        <v>0</v>
      </c>
      <c r="R176" s="14">
        <v>52.3</v>
      </c>
      <c r="S176" s="14">
        <v>26.15</v>
      </c>
      <c r="T176" s="14">
        <v>52.3</v>
      </c>
      <c r="U176" s="73">
        <f t="shared" si="93"/>
        <v>283.89999999999998</v>
      </c>
      <c r="W176" s="49">
        <f t="shared" si="100"/>
        <v>2</v>
      </c>
      <c r="X176" s="49">
        <f t="shared" si="101"/>
        <v>0</v>
      </c>
      <c r="Y176" s="49">
        <f t="shared" si="102"/>
        <v>1</v>
      </c>
      <c r="Z176" s="49">
        <f t="shared" si="103"/>
        <v>0.99999999999999989</v>
      </c>
      <c r="AA176" s="49">
        <f t="shared" si="104"/>
        <v>0.99999999999999989</v>
      </c>
      <c r="AB176" s="49">
        <f t="shared" si="105"/>
        <v>0</v>
      </c>
      <c r="AC176" s="49">
        <f t="shared" si="106"/>
        <v>0</v>
      </c>
      <c r="AD176" s="49">
        <f t="shared" si="107"/>
        <v>0.99999999999999989</v>
      </c>
      <c r="AE176" s="49">
        <f t="shared" si="108"/>
        <v>0</v>
      </c>
      <c r="AF176" s="49">
        <f t="shared" si="109"/>
        <v>1.9999999999999998</v>
      </c>
      <c r="AG176" s="49">
        <f t="shared" si="110"/>
        <v>0.99999999999999989</v>
      </c>
      <c r="AH176" s="49">
        <f t="shared" si="111"/>
        <v>1.9999999999999998</v>
      </c>
      <c r="AI176" s="47">
        <f t="shared" si="94"/>
        <v>0.91666666666666663</v>
      </c>
      <c r="AJ176" s="134">
        <f t="shared" si="95"/>
        <v>11</v>
      </c>
      <c r="AK176" s="45"/>
    </row>
    <row r="177" spans="1:46" x14ac:dyDescent="0.2">
      <c r="A177" s="40" t="str">
        <f>"all"&amp;"recycling"&amp;C177</f>
        <v>allrecycling0CRYEX1YD</v>
      </c>
      <c r="B177" s="1" t="str">
        <f>"Wash"&amp;"recycling"&amp;C177</f>
        <v>Washrecycling0CRYEX1YD</v>
      </c>
      <c r="C177" s="58" t="s">
        <v>501</v>
      </c>
      <c r="D177" s="58" t="s">
        <v>583</v>
      </c>
      <c r="E177" s="11">
        <v>33.18</v>
      </c>
      <c r="F177" s="11">
        <v>34.839999999999996</v>
      </c>
      <c r="G177" s="11">
        <v>34.839999999999996</v>
      </c>
      <c r="I177" s="14">
        <v>0</v>
      </c>
      <c r="J177" s="14">
        <v>0</v>
      </c>
      <c r="K177" s="14">
        <v>0</v>
      </c>
      <c r="L177" s="14">
        <v>0</v>
      </c>
      <c r="M177" s="14">
        <v>0</v>
      </c>
      <c r="N177" s="14">
        <v>0</v>
      </c>
      <c r="O177" s="14">
        <v>0</v>
      </c>
      <c r="P177" s="14">
        <v>34.840000000000003</v>
      </c>
      <c r="Q177" s="14">
        <v>0</v>
      </c>
      <c r="R177" s="14">
        <v>0</v>
      </c>
      <c r="S177" s="14">
        <v>34.840000000000003</v>
      </c>
      <c r="T177" s="14">
        <v>0</v>
      </c>
      <c r="U177" s="73">
        <f>SUM(I177:T177)</f>
        <v>69.680000000000007</v>
      </c>
      <c r="W177" s="49">
        <f t="shared" si="100"/>
        <v>0</v>
      </c>
      <c r="X177" s="49">
        <f t="shared" si="101"/>
        <v>0</v>
      </c>
      <c r="Y177" s="49">
        <f t="shared" si="102"/>
        <v>0</v>
      </c>
      <c r="Z177" s="49">
        <f t="shared" si="103"/>
        <v>0</v>
      </c>
      <c r="AA177" s="49">
        <f t="shared" si="104"/>
        <v>0</v>
      </c>
      <c r="AB177" s="49">
        <f t="shared" si="105"/>
        <v>0</v>
      </c>
      <c r="AC177" s="49">
        <f t="shared" si="106"/>
        <v>0</v>
      </c>
      <c r="AD177" s="49">
        <f t="shared" si="107"/>
        <v>1.0000000000000002</v>
      </c>
      <c r="AE177" s="49">
        <f t="shared" si="108"/>
        <v>0</v>
      </c>
      <c r="AF177" s="49">
        <f t="shared" si="109"/>
        <v>0</v>
      </c>
      <c r="AG177" s="49">
        <f t="shared" si="110"/>
        <v>1.0000000000000002</v>
      </c>
      <c r="AH177" s="49">
        <f t="shared" si="111"/>
        <v>0</v>
      </c>
      <c r="AI177" s="47">
        <f>+IFERROR(AVERAGE(W177:AH177),0)</f>
        <v>0.16666666666666671</v>
      </c>
      <c r="AJ177" s="134">
        <f>SUM(W177:AH177)</f>
        <v>2.0000000000000004</v>
      </c>
      <c r="AK177" s="45"/>
    </row>
    <row r="178" spans="1:46" x14ac:dyDescent="0.2">
      <c r="A178" s="40" t="str">
        <f t="shared" si="91"/>
        <v>allrecycling0CRYEX1.5YD</v>
      </c>
      <c r="B178" s="1" t="str">
        <f t="shared" si="92"/>
        <v>Washrecycling0CRYEX1.5YD</v>
      </c>
      <c r="C178" s="58" t="s">
        <v>499</v>
      </c>
      <c r="D178" s="58" t="s">
        <v>581</v>
      </c>
      <c r="E178" s="11">
        <v>33.18</v>
      </c>
      <c r="F178" s="11">
        <v>34.839999999999996</v>
      </c>
      <c r="G178" s="11">
        <v>34.839999999999996</v>
      </c>
      <c r="I178" s="14">
        <v>0</v>
      </c>
      <c r="J178" s="14">
        <v>33.18</v>
      </c>
      <c r="K178" s="14">
        <v>0</v>
      </c>
      <c r="L178" s="14">
        <v>0</v>
      </c>
      <c r="M178" s="14">
        <v>34.840000000000003</v>
      </c>
      <c r="N178" s="14">
        <v>0</v>
      </c>
      <c r="O178" s="14">
        <v>0</v>
      </c>
      <c r="P178" s="14">
        <v>0</v>
      </c>
      <c r="Q178" s="14">
        <v>0</v>
      </c>
      <c r="R178" s="14">
        <v>0</v>
      </c>
      <c r="S178" s="14">
        <v>0</v>
      </c>
      <c r="T178" s="14">
        <v>0</v>
      </c>
      <c r="U178" s="73">
        <f t="shared" si="93"/>
        <v>68.02000000000001</v>
      </c>
      <c r="W178" s="49">
        <f t="shared" si="100"/>
        <v>0</v>
      </c>
      <c r="X178" s="49">
        <f t="shared" si="101"/>
        <v>1</v>
      </c>
      <c r="Y178" s="49">
        <f t="shared" si="102"/>
        <v>0</v>
      </c>
      <c r="Z178" s="49">
        <f t="shared" si="103"/>
        <v>0</v>
      </c>
      <c r="AA178" s="49">
        <f t="shared" si="104"/>
        <v>1.0000000000000002</v>
      </c>
      <c r="AB178" s="49">
        <f t="shared" si="105"/>
        <v>0</v>
      </c>
      <c r="AC178" s="49">
        <f t="shared" si="106"/>
        <v>0</v>
      </c>
      <c r="AD178" s="49">
        <f t="shared" si="107"/>
        <v>0</v>
      </c>
      <c r="AE178" s="49">
        <f t="shared" si="108"/>
        <v>0</v>
      </c>
      <c r="AF178" s="49">
        <f t="shared" si="109"/>
        <v>0</v>
      </c>
      <c r="AG178" s="49">
        <f t="shared" si="110"/>
        <v>0</v>
      </c>
      <c r="AH178" s="49">
        <f t="shared" si="111"/>
        <v>0</v>
      </c>
      <c r="AI178" s="47">
        <f t="shared" si="94"/>
        <v>0.16666666666666666</v>
      </c>
      <c r="AJ178" s="134">
        <f t="shared" si="95"/>
        <v>2</v>
      </c>
      <c r="AK178" s="45"/>
    </row>
    <row r="179" spans="1:46" x14ac:dyDescent="0.2">
      <c r="A179" s="40" t="str">
        <f>"all"&amp;"recycling"&amp;C179</f>
        <v>allrecycling0CRYEX2YD</v>
      </c>
      <c r="B179" s="1" t="str">
        <f>"Wash"&amp;"recycling"&amp;C179</f>
        <v>Washrecycling0CRYEX2YD</v>
      </c>
      <c r="C179" s="58" t="s">
        <v>502</v>
      </c>
      <c r="D179" s="58" t="s">
        <v>584</v>
      </c>
      <c r="E179" s="11">
        <v>36.520000000000003</v>
      </c>
      <c r="F179" s="11">
        <v>38.35</v>
      </c>
      <c r="G179" s="11">
        <v>38.35</v>
      </c>
      <c r="I179" s="14">
        <v>0</v>
      </c>
      <c r="J179" s="14">
        <v>0</v>
      </c>
      <c r="K179" s="14">
        <v>0</v>
      </c>
      <c r="L179" s="14">
        <v>0</v>
      </c>
      <c r="M179" s="14">
        <v>0</v>
      </c>
      <c r="N179" s="14">
        <v>0</v>
      </c>
      <c r="O179" s="14">
        <v>0</v>
      </c>
      <c r="P179" s="14">
        <v>0</v>
      </c>
      <c r="Q179" s="14">
        <v>0</v>
      </c>
      <c r="R179" s="14">
        <v>0</v>
      </c>
      <c r="S179" s="14">
        <v>0</v>
      </c>
      <c r="T179" s="14">
        <v>0</v>
      </c>
      <c r="U179" s="73">
        <f t="shared" si="93"/>
        <v>0</v>
      </c>
      <c r="W179" s="49">
        <f t="shared" si="100"/>
        <v>0</v>
      </c>
      <c r="X179" s="49">
        <f t="shared" si="101"/>
        <v>0</v>
      </c>
      <c r="Y179" s="49">
        <f t="shared" si="102"/>
        <v>0</v>
      </c>
      <c r="Z179" s="49">
        <f t="shared" si="103"/>
        <v>0</v>
      </c>
      <c r="AA179" s="49">
        <f t="shared" si="104"/>
        <v>0</v>
      </c>
      <c r="AB179" s="49">
        <f t="shared" si="105"/>
        <v>0</v>
      </c>
      <c r="AC179" s="49">
        <f t="shared" si="106"/>
        <v>0</v>
      </c>
      <c r="AD179" s="49">
        <f t="shared" si="107"/>
        <v>0</v>
      </c>
      <c r="AE179" s="49">
        <f t="shared" si="108"/>
        <v>0</v>
      </c>
      <c r="AF179" s="49">
        <f t="shared" si="109"/>
        <v>0</v>
      </c>
      <c r="AG179" s="49">
        <f t="shared" si="110"/>
        <v>0</v>
      </c>
      <c r="AH179" s="49">
        <f t="shared" si="111"/>
        <v>0</v>
      </c>
      <c r="AI179" s="47">
        <f t="shared" si="94"/>
        <v>0</v>
      </c>
      <c r="AJ179" s="134">
        <f t="shared" si="95"/>
        <v>0</v>
      </c>
      <c r="AK179" s="45"/>
    </row>
    <row r="180" spans="1:46" x14ac:dyDescent="0.2">
      <c r="A180" s="40" t="str">
        <f t="shared" si="91"/>
        <v>allrecycling0CRYEX3YD</v>
      </c>
      <c r="B180" s="1" t="str">
        <f t="shared" si="92"/>
        <v>Washrecycling0CRYEX3YD</v>
      </c>
      <c r="C180" s="58" t="s">
        <v>503</v>
      </c>
      <c r="D180" s="58" t="s">
        <v>585</v>
      </c>
      <c r="E180" s="11">
        <v>40.68</v>
      </c>
      <c r="F180" s="11">
        <v>42.709999999999994</v>
      </c>
      <c r="G180" s="11">
        <v>42.709999999999994</v>
      </c>
      <c r="I180" s="14">
        <v>0</v>
      </c>
      <c r="J180" s="14">
        <v>40.68</v>
      </c>
      <c r="K180" s="14">
        <v>0</v>
      </c>
      <c r="L180" s="14">
        <v>0</v>
      </c>
      <c r="M180" s="14">
        <v>20.6</v>
      </c>
      <c r="N180" s="14">
        <v>42.71</v>
      </c>
      <c r="O180" s="14">
        <v>0</v>
      </c>
      <c r="P180" s="14">
        <v>0</v>
      </c>
      <c r="Q180" s="14">
        <v>0</v>
      </c>
      <c r="R180" s="14">
        <v>0</v>
      </c>
      <c r="S180" s="14">
        <v>42.71</v>
      </c>
      <c r="T180" s="14">
        <v>0</v>
      </c>
      <c r="U180" s="73">
        <f t="shared" si="93"/>
        <v>146.70000000000002</v>
      </c>
      <c r="W180" s="49">
        <f t="shared" si="100"/>
        <v>0</v>
      </c>
      <c r="X180" s="49">
        <f t="shared" si="101"/>
        <v>1</v>
      </c>
      <c r="Y180" s="49">
        <f t="shared" si="102"/>
        <v>0</v>
      </c>
      <c r="Z180" s="49">
        <f t="shared" si="103"/>
        <v>0</v>
      </c>
      <c r="AA180" s="49">
        <f t="shared" si="104"/>
        <v>0.48232264106766576</v>
      </c>
      <c r="AB180" s="49">
        <f t="shared" si="105"/>
        <v>1.0000000000000002</v>
      </c>
      <c r="AC180" s="49">
        <f t="shared" si="106"/>
        <v>0</v>
      </c>
      <c r="AD180" s="49">
        <f t="shared" si="107"/>
        <v>0</v>
      </c>
      <c r="AE180" s="49">
        <f t="shared" si="108"/>
        <v>0</v>
      </c>
      <c r="AF180" s="49">
        <f t="shared" si="109"/>
        <v>0</v>
      </c>
      <c r="AG180" s="49">
        <f t="shared" si="110"/>
        <v>1.0000000000000002</v>
      </c>
      <c r="AH180" s="49">
        <f t="shared" si="111"/>
        <v>0</v>
      </c>
      <c r="AI180" s="47">
        <f t="shared" si="94"/>
        <v>0.29019355342230552</v>
      </c>
      <c r="AJ180" s="134">
        <f t="shared" si="95"/>
        <v>3.4823226410676664</v>
      </c>
      <c r="AK180" s="45"/>
    </row>
    <row r="181" spans="1:46" x14ac:dyDescent="0.2">
      <c r="A181" s="40" t="str">
        <f t="shared" si="91"/>
        <v>allrecycling0CRYEX4YD</v>
      </c>
      <c r="B181" s="1" t="str">
        <f t="shared" si="92"/>
        <v>Washrecycling0CRYEX4YD</v>
      </c>
      <c r="C181" s="58" t="s">
        <v>504</v>
      </c>
      <c r="D181" s="58" t="s">
        <v>586</v>
      </c>
      <c r="E181" s="11">
        <v>41.5</v>
      </c>
      <c r="F181" s="11">
        <v>43.579999999999991</v>
      </c>
      <c r="G181" s="11">
        <v>43.579999999999991</v>
      </c>
      <c r="I181" s="14">
        <v>332</v>
      </c>
      <c r="J181" s="14">
        <v>415</v>
      </c>
      <c r="K181" s="14">
        <v>332</v>
      </c>
      <c r="L181" s="14">
        <v>348.64</v>
      </c>
      <c r="M181" s="14">
        <v>305.06</v>
      </c>
      <c r="N181" s="14">
        <v>217.9</v>
      </c>
      <c r="O181" s="14">
        <v>130.74</v>
      </c>
      <c r="P181" s="14">
        <v>479.38</v>
      </c>
      <c r="Q181" s="14">
        <v>-43.58</v>
      </c>
      <c r="R181" s="14">
        <v>87.16</v>
      </c>
      <c r="S181" s="14">
        <v>43.58</v>
      </c>
      <c r="T181" s="14">
        <v>43.58</v>
      </c>
      <c r="U181" s="73">
        <f t="shared" si="93"/>
        <v>2691.46</v>
      </c>
      <c r="W181" s="49">
        <f t="shared" si="100"/>
        <v>8</v>
      </c>
      <c r="X181" s="49">
        <f t="shared" si="101"/>
        <v>10</v>
      </c>
      <c r="Y181" s="49">
        <f t="shared" si="102"/>
        <v>8</v>
      </c>
      <c r="Z181" s="49">
        <f t="shared" si="103"/>
        <v>8.0000000000000018</v>
      </c>
      <c r="AA181" s="49">
        <f t="shared" si="104"/>
        <v>7.0000000000000018</v>
      </c>
      <c r="AB181" s="49">
        <f t="shared" si="105"/>
        <v>5.0000000000000009</v>
      </c>
      <c r="AC181" s="49">
        <f t="shared" si="106"/>
        <v>3.0000000000000009</v>
      </c>
      <c r="AD181" s="49">
        <f t="shared" si="107"/>
        <v>11.000000000000002</v>
      </c>
      <c r="AE181" s="49">
        <f t="shared" si="108"/>
        <v>-1.0000000000000002</v>
      </c>
      <c r="AF181" s="49">
        <f t="shared" si="109"/>
        <v>2.0000000000000004</v>
      </c>
      <c r="AG181" s="49">
        <f t="shared" si="110"/>
        <v>1.0000000000000002</v>
      </c>
      <c r="AH181" s="49">
        <f t="shared" si="111"/>
        <v>1.0000000000000002</v>
      </c>
      <c r="AI181" s="47">
        <f t="shared" si="94"/>
        <v>5.25</v>
      </c>
      <c r="AJ181" s="134">
        <f t="shared" si="95"/>
        <v>63</v>
      </c>
      <c r="AK181" s="45"/>
    </row>
    <row r="182" spans="1:46" x14ac:dyDescent="0.2">
      <c r="A182" s="40" t="str">
        <f t="shared" si="91"/>
        <v>allrecyclingCRYEXC</v>
      </c>
      <c r="B182" s="1" t="str">
        <f t="shared" si="92"/>
        <v>WashrecyclingCRYEXC</v>
      </c>
      <c r="C182" s="58" t="s">
        <v>519</v>
      </c>
      <c r="D182" s="58" t="s">
        <v>600</v>
      </c>
      <c r="E182" s="11">
        <v>29.77</v>
      </c>
      <c r="F182" s="11">
        <v>31.259999999999998</v>
      </c>
      <c r="G182" s="11">
        <v>31.259999999999998</v>
      </c>
      <c r="I182" s="14">
        <v>0</v>
      </c>
      <c r="J182" s="14">
        <v>0</v>
      </c>
      <c r="K182" s="14">
        <v>0</v>
      </c>
      <c r="L182" s="14">
        <v>125.04</v>
      </c>
      <c r="M182" s="14">
        <v>156.30000000000001</v>
      </c>
      <c r="N182" s="14">
        <v>31.26</v>
      </c>
      <c r="O182" s="14">
        <v>46.89</v>
      </c>
      <c r="P182" s="14">
        <v>125.04</v>
      </c>
      <c r="Q182" s="14">
        <v>0</v>
      </c>
      <c r="R182" s="14">
        <v>0</v>
      </c>
      <c r="S182" s="14">
        <v>0</v>
      </c>
      <c r="T182" s="14">
        <v>0</v>
      </c>
      <c r="U182" s="73">
        <f t="shared" si="93"/>
        <v>484.53000000000003</v>
      </c>
      <c r="W182" s="49">
        <f t="shared" si="100"/>
        <v>0</v>
      </c>
      <c r="X182" s="49">
        <f t="shared" si="101"/>
        <v>0</v>
      </c>
      <c r="Y182" s="49">
        <f t="shared" si="102"/>
        <v>0</v>
      </c>
      <c r="Z182" s="49">
        <f t="shared" si="103"/>
        <v>4.0000000000000009</v>
      </c>
      <c r="AA182" s="49">
        <f t="shared" si="104"/>
        <v>5.0000000000000009</v>
      </c>
      <c r="AB182" s="49">
        <f t="shared" si="105"/>
        <v>1.0000000000000002</v>
      </c>
      <c r="AC182" s="49">
        <f t="shared" si="106"/>
        <v>1.5000000000000002</v>
      </c>
      <c r="AD182" s="49">
        <f t="shared" si="107"/>
        <v>4.0000000000000009</v>
      </c>
      <c r="AE182" s="49">
        <f t="shared" si="108"/>
        <v>0</v>
      </c>
      <c r="AF182" s="49">
        <f t="shared" si="109"/>
        <v>0</v>
      </c>
      <c r="AG182" s="49">
        <f t="shared" si="110"/>
        <v>0</v>
      </c>
      <c r="AH182" s="49">
        <f t="shared" si="111"/>
        <v>0</v>
      </c>
      <c r="AI182" s="47">
        <f t="shared" si="94"/>
        <v>1.291666666666667</v>
      </c>
      <c r="AJ182" s="134">
        <f t="shared" si="95"/>
        <v>15.500000000000004</v>
      </c>
      <c r="AK182" s="45"/>
    </row>
    <row r="183" spans="1:46" x14ac:dyDescent="0.2">
      <c r="A183" s="40" t="str">
        <f t="shared" si="91"/>
        <v>allrecyclingSCHX</v>
      </c>
      <c r="B183" s="1" t="str">
        <f t="shared" si="92"/>
        <v>WashrecyclingSCHX</v>
      </c>
      <c r="C183" s="58" t="s">
        <v>1026</v>
      </c>
      <c r="D183" s="58" t="s">
        <v>1027</v>
      </c>
      <c r="E183" s="11">
        <v>9.08</v>
      </c>
      <c r="F183" s="11">
        <v>9.08</v>
      </c>
      <c r="G183" s="11">
        <v>9.08</v>
      </c>
      <c r="I183" s="14">
        <v>0</v>
      </c>
      <c r="J183" s="14">
        <v>0</v>
      </c>
      <c r="K183" s="14">
        <v>21.8</v>
      </c>
      <c r="L183" s="14">
        <v>0</v>
      </c>
      <c r="M183" s="14">
        <v>0</v>
      </c>
      <c r="N183" s="14">
        <v>0</v>
      </c>
      <c r="O183" s="14">
        <v>0</v>
      </c>
      <c r="P183" s="14">
        <v>0</v>
      </c>
      <c r="Q183" s="14">
        <v>0</v>
      </c>
      <c r="R183" s="14">
        <v>0</v>
      </c>
      <c r="S183" s="14">
        <v>0</v>
      </c>
      <c r="T183" s="14">
        <v>0</v>
      </c>
      <c r="U183" s="73">
        <f t="shared" si="93"/>
        <v>21.8</v>
      </c>
      <c r="W183" s="49">
        <f t="shared" si="100"/>
        <v>0</v>
      </c>
      <c r="X183" s="49">
        <f t="shared" si="101"/>
        <v>0</v>
      </c>
      <c r="Y183" s="49">
        <f t="shared" si="102"/>
        <v>2.4008810572687227</v>
      </c>
      <c r="Z183" s="49">
        <f t="shared" si="103"/>
        <v>0</v>
      </c>
      <c r="AA183" s="49">
        <f t="shared" si="104"/>
        <v>0</v>
      </c>
      <c r="AB183" s="49">
        <f t="shared" si="105"/>
        <v>0</v>
      </c>
      <c r="AC183" s="49">
        <f t="shared" si="106"/>
        <v>0</v>
      </c>
      <c r="AD183" s="49">
        <f t="shared" si="107"/>
        <v>0</v>
      </c>
      <c r="AE183" s="49">
        <f t="shared" si="108"/>
        <v>0</v>
      </c>
      <c r="AF183" s="49">
        <f t="shared" si="109"/>
        <v>0</v>
      </c>
      <c r="AG183" s="49">
        <f t="shared" si="110"/>
        <v>0</v>
      </c>
      <c r="AH183" s="49">
        <f t="shared" si="111"/>
        <v>0</v>
      </c>
      <c r="AI183" s="47">
        <f t="shared" si="94"/>
        <v>0.20007342143906023</v>
      </c>
      <c r="AJ183" s="134">
        <f t="shared" si="95"/>
        <v>2.4008810572687227</v>
      </c>
      <c r="AK183" s="45"/>
    </row>
    <row r="184" spans="1:46" x14ac:dyDescent="0.2">
      <c r="A184" s="40" t="str">
        <f t="shared" si="91"/>
        <v>allrecyclingCRYACC</v>
      </c>
      <c r="B184" s="1" t="str">
        <f t="shared" si="92"/>
        <v>WashrecyclingCRYACC</v>
      </c>
      <c r="C184" s="58" t="s">
        <v>521</v>
      </c>
      <c r="D184" s="58" t="s">
        <v>601</v>
      </c>
      <c r="E184" s="11">
        <v>11.39</v>
      </c>
      <c r="F184" s="11">
        <v>11.96</v>
      </c>
      <c r="G184" s="11">
        <v>11.96</v>
      </c>
      <c r="I184" s="14">
        <v>190.38</v>
      </c>
      <c r="J184" s="14">
        <v>198.93</v>
      </c>
      <c r="K184" s="14">
        <v>198.93</v>
      </c>
      <c r="L184" s="14">
        <v>208.88</v>
      </c>
      <c r="M184" s="14">
        <v>208.88</v>
      </c>
      <c r="N184" s="14">
        <v>208.88</v>
      </c>
      <c r="O184" s="14">
        <v>208.88</v>
      </c>
      <c r="P184" s="14">
        <v>196.92</v>
      </c>
      <c r="Q184" s="14">
        <v>199.91</v>
      </c>
      <c r="R184" s="14">
        <v>196.92</v>
      </c>
      <c r="S184" s="14">
        <v>209.98</v>
      </c>
      <c r="T184" s="14">
        <v>204</v>
      </c>
      <c r="U184" s="73">
        <f t="shared" si="93"/>
        <v>2431.4900000000002</v>
      </c>
      <c r="W184" s="49">
        <f t="shared" si="100"/>
        <v>16.714661984196663</v>
      </c>
      <c r="X184" s="49">
        <f t="shared" si="101"/>
        <v>17.465320456540827</v>
      </c>
      <c r="Y184" s="49">
        <f t="shared" si="102"/>
        <v>17.465320456540827</v>
      </c>
      <c r="Z184" s="49">
        <f t="shared" si="103"/>
        <v>17.46488294314381</v>
      </c>
      <c r="AA184" s="49">
        <f t="shared" si="104"/>
        <v>17.46488294314381</v>
      </c>
      <c r="AB184" s="49">
        <f t="shared" si="105"/>
        <v>17.46488294314381</v>
      </c>
      <c r="AC184" s="49">
        <f t="shared" si="106"/>
        <v>17.46488294314381</v>
      </c>
      <c r="AD184" s="49">
        <f t="shared" si="107"/>
        <v>16.46488294314381</v>
      </c>
      <c r="AE184" s="49">
        <f t="shared" si="108"/>
        <v>16.71488294314381</v>
      </c>
      <c r="AF184" s="49">
        <f t="shared" si="109"/>
        <v>16.46488294314381</v>
      </c>
      <c r="AG184" s="49">
        <f t="shared" si="110"/>
        <v>17.556856187290968</v>
      </c>
      <c r="AH184" s="49">
        <f t="shared" si="111"/>
        <v>17.056856187290968</v>
      </c>
      <c r="AI184" s="47">
        <f t="shared" si="94"/>
        <v>17.14693298948891</v>
      </c>
      <c r="AJ184" s="134">
        <f t="shared" si="95"/>
        <v>205.76319587386692</v>
      </c>
      <c r="AK184" s="45"/>
    </row>
    <row r="185" spans="1:46" x14ac:dyDescent="0.2">
      <c r="A185" s="40" t="str">
        <f t="shared" si="91"/>
        <v>allrecyclingCRYEX1YD</v>
      </c>
      <c r="B185" s="1" t="str">
        <f t="shared" si="92"/>
        <v>WashrecyclingCRYEX1YD</v>
      </c>
      <c r="C185" s="58" t="s">
        <v>529</v>
      </c>
      <c r="D185" s="58" t="s">
        <v>609</v>
      </c>
      <c r="E185" s="11">
        <v>33.18</v>
      </c>
      <c r="F185" s="11">
        <v>34.839999999999996</v>
      </c>
      <c r="G185" s="11">
        <v>34.839999999999996</v>
      </c>
      <c r="I185" s="14">
        <v>0</v>
      </c>
      <c r="J185" s="14">
        <v>0</v>
      </c>
      <c r="K185" s="14">
        <v>0</v>
      </c>
      <c r="L185" s="14">
        <v>0</v>
      </c>
      <c r="M185" s="14">
        <v>0</v>
      </c>
      <c r="N185" s="14">
        <v>0</v>
      </c>
      <c r="O185" s="14">
        <v>0</v>
      </c>
      <c r="P185" s="14">
        <v>0</v>
      </c>
      <c r="Q185" s="14">
        <v>0</v>
      </c>
      <c r="R185" s="14">
        <v>34.840000000000003</v>
      </c>
      <c r="S185" s="14">
        <v>0</v>
      </c>
      <c r="T185" s="14">
        <v>0</v>
      </c>
      <c r="U185" s="73">
        <f>SUM(I185:T185)</f>
        <v>34.840000000000003</v>
      </c>
      <c r="W185" s="49">
        <f t="shared" si="100"/>
        <v>0</v>
      </c>
      <c r="X185" s="49">
        <f t="shared" si="101"/>
        <v>0</v>
      </c>
      <c r="Y185" s="49">
        <f t="shared" si="102"/>
        <v>0</v>
      </c>
      <c r="Z185" s="49">
        <f t="shared" si="103"/>
        <v>0</v>
      </c>
      <c r="AA185" s="49">
        <f t="shared" si="104"/>
        <v>0</v>
      </c>
      <c r="AB185" s="49">
        <f t="shared" si="105"/>
        <v>0</v>
      </c>
      <c r="AC185" s="49">
        <f t="shared" si="106"/>
        <v>0</v>
      </c>
      <c r="AD185" s="49">
        <f t="shared" si="107"/>
        <v>0</v>
      </c>
      <c r="AE185" s="49">
        <f t="shared" si="108"/>
        <v>0</v>
      </c>
      <c r="AF185" s="49">
        <f t="shared" si="109"/>
        <v>1.0000000000000002</v>
      </c>
      <c r="AG185" s="49">
        <f t="shared" si="110"/>
        <v>0</v>
      </c>
      <c r="AH185" s="49">
        <f t="shared" si="111"/>
        <v>0</v>
      </c>
      <c r="AI185" s="47"/>
      <c r="AJ185" s="134"/>
      <c r="AK185" s="45"/>
    </row>
    <row r="186" spans="1:46" x14ac:dyDescent="0.2">
      <c r="A186" s="40" t="str">
        <f t="shared" si="91"/>
        <v>allrecyclingCRYPLACE</v>
      </c>
      <c r="B186" s="1" t="str">
        <f t="shared" si="92"/>
        <v>WashrecyclingCRYPLACE</v>
      </c>
      <c r="C186" s="58" t="s">
        <v>523</v>
      </c>
      <c r="D186" s="58" t="s">
        <v>603</v>
      </c>
      <c r="E186" s="11">
        <v>42.98</v>
      </c>
      <c r="F186" s="11">
        <v>45.129999999999995</v>
      </c>
      <c r="G186" s="11">
        <v>45.129999999999995</v>
      </c>
      <c r="I186" s="14">
        <v>85.96</v>
      </c>
      <c r="J186" s="14">
        <v>42.98</v>
      </c>
      <c r="K186" s="14">
        <v>42.98</v>
      </c>
      <c r="L186" s="14">
        <v>0</v>
      </c>
      <c r="M186" s="14">
        <v>45.13</v>
      </c>
      <c r="N186" s="14">
        <v>0</v>
      </c>
      <c r="O186" s="14">
        <v>0</v>
      </c>
      <c r="P186" s="14">
        <v>0</v>
      </c>
      <c r="Q186" s="14">
        <v>0</v>
      </c>
      <c r="R186" s="14">
        <v>45.13</v>
      </c>
      <c r="S186" s="14">
        <v>45.13</v>
      </c>
      <c r="T186" s="14">
        <v>90.26</v>
      </c>
      <c r="U186" s="73">
        <f>SUM(I186:T186)</f>
        <v>397.57</v>
      </c>
      <c r="W186" s="49">
        <f t="shared" si="100"/>
        <v>2</v>
      </c>
      <c r="X186" s="49">
        <f t="shared" si="101"/>
        <v>1</v>
      </c>
      <c r="Y186" s="49">
        <f t="shared" si="102"/>
        <v>1</v>
      </c>
      <c r="Z186" s="49">
        <f t="shared" si="103"/>
        <v>0</v>
      </c>
      <c r="AA186" s="49">
        <f t="shared" si="104"/>
        <v>1.0000000000000002</v>
      </c>
      <c r="AB186" s="49">
        <f t="shared" si="105"/>
        <v>0</v>
      </c>
      <c r="AC186" s="49">
        <f t="shared" si="106"/>
        <v>0</v>
      </c>
      <c r="AD186" s="49">
        <f t="shared" si="107"/>
        <v>0</v>
      </c>
      <c r="AE186" s="49">
        <f t="shared" si="108"/>
        <v>0</v>
      </c>
      <c r="AF186" s="49">
        <f t="shared" si="109"/>
        <v>1.0000000000000002</v>
      </c>
      <c r="AG186" s="49">
        <f t="shared" si="110"/>
        <v>1.0000000000000002</v>
      </c>
      <c r="AH186" s="49">
        <f t="shared" si="111"/>
        <v>2.0000000000000004</v>
      </c>
      <c r="AI186" s="47">
        <f t="shared" si="94"/>
        <v>0.75</v>
      </c>
      <c r="AJ186" s="134">
        <f t="shared" si="95"/>
        <v>9</v>
      </c>
      <c r="AK186" s="45"/>
    </row>
    <row r="187" spans="1:46" x14ac:dyDescent="0.2">
      <c r="A187" s="40" t="str">
        <f>"all"&amp;"recycling"&amp;C187</f>
        <v>allrecyclingCFR65G1X</v>
      </c>
      <c r="B187" s="1" t="str">
        <f>"Wash"&amp;"recycling"&amp;C187</f>
        <v>WashrecyclingCFR65G1X</v>
      </c>
      <c r="C187" s="58" t="s">
        <v>488</v>
      </c>
      <c r="D187" s="58" t="s">
        <v>571</v>
      </c>
      <c r="E187" s="11">
        <v>34.01</v>
      </c>
      <c r="F187" s="11">
        <v>35.71</v>
      </c>
      <c r="G187" s="11">
        <v>35.71</v>
      </c>
      <c r="I187" s="14">
        <v>0</v>
      </c>
      <c r="J187" s="14">
        <v>0</v>
      </c>
      <c r="K187" s="14">
        <v>0</v>
      </c>
      <c r="L187" s="14">
        <v>67.84</v>
      </c>
      <c r="M187" s="14">
        <v>142.84</v>
      </c>
      <c r="N187" s="14">
        <v>142.84</v>
      </c>
      <c r="O187" s="14">
        <v>142.84</v>
      </c>
      <c r="P187" s="14">
        <v>142.84</v>
      </c>
      <c r="Q187" s="14">
        <v>142.84</v>
      </c>
      <c r="R187" s="14">
        <v>142.84</v>
      </c>
      <c r="S187" s="14">
        <v>133.72</v>
      </c>
      <c r="T187" s="14">
        <v>133.72</v>
      </c>
      <c r="U187" s="73">
        <f>SUM(I187:T187)</f>
        <v>1192.3200000000002</v>
      </c>
      <c r="W187" s="49">
        <f t="shared" si="100"/>
        <v>0</v>
      </c>
      <c r="X187" s="49">
        <f t="shared" si="101"/>
        <v>0</v>
      </c>
      <c r="Y187" s="49">
        <f t="shared" si="102"/>
        <v>0</v>
      </c>
      <c r="Z187" s="49">
        <f t="shared" si="103"/>
        <v>1.8997479697563708</v>
      </c>
      <c r="AA187" s="49">
        <f t="shared" si="104"/>
        <v>4</v>
      </c>
      <c r="AB187" s="49">
        <f t="shared" si="105"/>
        <v>4</v>
      </c>
      <c r="AC187" s="49">
        <f t="shared" si="106"/>
        <v>4</v>
      </c>
      <c r="AD187" s="49">
        <f t="shared" si="107"/>
        <v>4</v>
      </c>
      <c r="AE187" s="49">
        <f t="shared" si="108"/>
        <v>4</v>
      </c>
      <c r="AF187" s="49">
        <f t="shared" si="109"/>
        <v>4</v>
      </c>
      <c r="AG187" s="49">
        <f t="shared" si="110"/>
        <v>3.7446093531223745</v>
      </c>
      <c r="AH187" s="49">
        <f t="shared" si="111"/>
        <v>3.7446093531223745</v>
      </c>
      <c r="AI187" s="47">
        <f>+IFERROR(AVERAGE(W187:AH187),0)</f>
        <v>2.7824138896667598</v>
      </c>
      <c r="AJ187" s="134">
        <f>SUM(W187:AH187)</f>
        <v>33.388966676001118</v>
      </c>
      <c r="AK187" s="45"/>
    </row>
    <row r="188" spans="1:46" x14ac:dyDescent="0.2">
      <c r="A188" s="40" t="str">
        <f t="shared" si="91"/>
        <v>allrecyclingCRYRO</v>
      </c>
      <c r="B188" s="1" t="str">
        <f t="shared" si="92"/>
        <v>WashrecyclingCRYRO</v>
      </c>
      <c r="C188" s="58" t="s">
        <v>524</v>
      </c>
      <c r="D188" s="58" t="s">
        <v>604</v>
      </c>
      <c r="E188" s="11">
        <v>11.39</v>
      </c>
      <c r="F188" s="11">
        <v>11.96</v>
      </c>
      <c r="G188" s="11">
        <v>11.96</v>
      </c>
      <c r="I188" s="14">
        <v>213.94</v>
      </c>
      <c r="J188" s="14">
        <v>222.48</v>
      </c>
      <c r="K188" s="14">
        <v>225.33</v>
      </c>
      <c r="L188" s="14">
        <v>236.61</v>
      </c>
      <c r="M188" s="14">
        <v>251.55</v>
      </c>
      <c r="N188" s="14">
        <v>260.52999999999997</v>
      </c>
      <c r="O188" s="14">
        <v>260.52999999999997</v>
      </c>
      <c r="P188" s="14">
        <v>260.52999999999997</v>
      </c>
      <c r="Q188" s="14">
        <v>260.52999999999997</v>
      </c>
      <c r="R188" s="14">
        <v>248.57</v>
      </c>
      <c r="S188" s="14">
        <v>251.84</v>
      </c>
      <c r="T188" s="14">
        <v>251.84</v>
      </c>
      <c r="U188" s="73">
        <f t="shared" si="93"/>
        <v>2944.28</v>
      </c>
      <c r="W188" s="49">
        <f t="shared" si="100"/>
        <v>18.783143107989464</v>
      </c>
      <c r="X188" s="49">
        <f t="shared" si="101"/>
        <v>19.532923617208077</v>
      </c>
      <c r="Y188" s="49">
        <f t="shared" si="102"/>
        <v>19.783143107989464</v>
      </c>
      <c r="Z188" s="49">
        <f t="shared" si="103"/>
        <v>19.78344481605351</v>
      </c>
      <c r="AA188" s="49">
        <f t="shared" si="104"/>
        <v>21.032608695652172</v>
      </c>
      <c r="AB188" s="49">
        <f t="shared" si="105"/>
        <v>21.783444816053507</v>
      </c>
      <c r="AC188" s="49">
        <f t="shared" si="106"/>
        <v>21.783444816053507</v>
      </c>
      <c r="AD188" s="49">
        <f t="shared" si="107"/>
        <v>21.783444816053507</v>
      </c>
      <c r="AE188" s="49">
        <f t="shared" si="108"/>
        <v>21.783444816053507</v>
      </c>
      <c r="AF188" s="49">
        <f t="shared" si="109"/>
        <v>20.78344481605351</v>
      </c>
      <c r="AG188" s="49">
        <f t="shared" si="110"/>
        <v>21.056856187290968</v>
      </c>
      <c r="AH188" s="49">
        <f t="shared" si="111"/>
        <v>21.056856187290968</v>
      </c>
      <c r="AI188" s="47">
        <f t="shared" si="94"/>
        <v>20.745516649978516</v>
      </c>
      <c r="AJ188" s="134">
        <f t="shared" si="95"/>
        <v>248.94619979974217</v>
      </c>
      <c r="AK188" s="45"/>
    </row>
    <row r="189" spans="1:46" x14ac:dyDescent="0.2">
      <c r="C189" s="58"/>
      <c r="D189" s="58"/>
      <c r="U189" s="81"/>
      <c r="W189" s="48"/>
      <c r="X189" s="48"/>
      <c r="Y189" s="48"/>
      <c r="Z189" s="48"/>
      <c r="AA189" s="48"/>
      <c r="AB189" s="48"/>
      <c r="AC189" s="48"/>
      <c r="AD189" s="48"/>
      <c r="AE189" s="48"/>
      <c r="AF189" s="48"/>
      <c r="AG189" s="48"/>
      <c r="AH189" s="48"/>
      <c r="AK189" s="45"/>
    </row>
    <row r="190" spans="1:46" x14ac:dyDescent="0.2">
      <c r="C190" s="45"/>
      <c r="D190" s="52" t="s">
        <v>28</v>
      </c>
      <c r="I190" s="97">
        <f t="shared" ref="I190:U190" si="113">SUM(I143:I189)</f>
        <v>16440.709999999995</v>
      </c>
      <c r="J190" s="97">
        <f t="shared" si="113"/>
        <v>16859.830000000002</v>
      </c>
      <c r="K190" s="97">
        <f t="shared" si="113"/>
        <v>16835.73</v>
      </c>
      <c r="L190" s="97">
        <f t="shared" si="113"/>
        <v>17747.010000000002</v>
      </c>
      <c r="M190" s="97">
        <f t="shared" si="113"/>
        <v>17792.45</v>
      </c>
      <c r="N190" s="97">
        <f t="shared" si="113"/>
        <v>17896.889999999992</v>
      </c>
      <c r="O190" s="97">
        <f t="shared" si="113"/>
        <v>17511.369999999995</v>
      </c>
      <c r="P190" s="97">
        <f t="shared" si="113"/>
        <v>17563.61</v>
      </c>
      <c r="Q190" s="97">
        <f t="shared" si="113"/>
        <v>16654.559999999998</v>
      </c>
      <c r="R190" s="97">
        <f t="shared" si="113"/>
        <v>17104.940000000002</v>
      </c>
      <c r="S190" s="97">
        <f t="shared" si="113"/>
        <v>16985.000000000004</v>
      </c>
      <c r="T190" s="97">
        <f t="shared" si="113"/>
        <v>17241.760000000002</v>
      </c>
      <c r="U190" s="97">
        <f t="shared" si="113"/>
        <v>206633.85999999996</v>
      </c>
      <c r="V190" s="100"/>
      <c r="W190" s="191">
        <f t="shared" ref="W190:AJ190" si="114">SUM(W143:W166)</f>
        <v>127.36703026707094</v>
      </c>
      <c r="X190" s="191">
        <f t="shared" si="114"/>
        <v>129.96458565412584</v>
      </c>
      <c r="Y190" s="191">
        <f t="shared" si="114"/>
        <v>129.74721452591979</v>
      </c>
      <c r="Z190" s="191">
        <f t="shared" si="114"/>
        <v>129.59261720882719</v>
      </c>
      <c r="AA190" s="191">
        <f t="shared" si="114"/>
        <v>128.3520299044915</v>
      </c>
      <c r="AB190" s="191">
        <f t="shared" si="114"/>
        <v>132.59261720882719</v>
      </c>
      <c r="AC190" s="191">
        <f t="shared" si="114"/>
        <v>130.61535061085078</v>
      </c>
      <c r="AD190" s="191">
        <f t="shared" si="114"/>
        <v>130.18372595100843</v>
      </c>
      <c r="AE190" s="191">
        <f t="shared" si="114"/>
        <v>127.18352577545151</v>
      </c>
      <c r="AF190" s="191">
        <f t="shared" si="114"/>
        <v>128.72296703116126</v>
      </c>
      <c r="AG190" s="191">
        <f t="shared" si="114"/>
        <v>127.31403255248871</v>
      </c>
      <c r="AH190" s="191">
        <f t="shared" si="114"/>
        <v>129.06412139702491</v>
      </c>
      <c r="AI190" s="191">
        <f t="shared" si="114"/>
        <v>129.22498484060398</v>
      </c>
      <c r="AJ190" s="191">
        <f t="shared" si="114"/>
        <v>1550.6998180872483</v>
      </c>
      <c r="AK190" s="45"/>
      <c r="AN190" s="196">
        <f>SUM(AN143:AN165)</f>
        <v>45.487397795347078</v>
      </c>
      <c r="AP190" s="196">
        <f>SUM(AP143:AP165)</f>
        <v>69.09787769726006</v>
      </c>
      <c r="AR190" s="196">
        <f>SUM(AR143:AR165)</f>
        <v>0</v>
      </c>
      <c r="AT190" s="196">
        <f>SUM(AT143:AT165)</f>
        <v>0</v>
      </c>
    </row>
    <row r="191" spans="1:46" x14ac:dyDescent="0.2">
      <c r="C191" s="45"/>
      <c r="D191" s="45"/>
      <c r="AK191" s="45"/>
    </row>
    <row r="192" spans="1:46" x14ac:dyDescent="0.2">
      <c r="C192" s="70" t="s">
        <v>13</v>
      </c>
      <c r="D192" s="70" t="s">
        <v>13</v>
      </c>
      <c r="AK192" s="45"/>
    </row>
    <row r="193" spans="2:46" x14ac:dyDescent="0.2">
      <c r="C193" s="71"/>
      <c r="D193" s="71"/>
      <c r="AK193" s="45"/>
    </row>
    <row r="194" spans="2:46" x14ac:dyDescent="0.2">
      <c r="C194" s="62" t="s">
        <v>14</v>
      </c>
      <c r="D194" s="62" t="s">
        <v>14</v>
      </c>
      <c r="AK194" s="45"/>
    </row>
    <row r="195" spans="2:46" x14ac:dyDescent="0.2">
      <c r="B195" s="1" t="str">
        <f>"Wash"&amp;"roll off"&amp;C195</f>
        <v>Washroll offWAHAUL20</v>
      </c>
      <c r="C195" s="58" t="s">
        <v>981</v>
      </c>
      <c r="D195" s="58" t="s">
        <v>989</v>
      </c>
      <c r="E195" s="11">
        <v>290.08</v>
      </c>
      <c r="F195" s="11">
        <v>290.08</v>
      </c>
      <c r="G195" s="11">
        <v>309.70999999999998</v>
      </c>
      <c r="I195" s="14">
        <v>2610.7199999999998</v>
      </c>
      <c r="J195" s="14">
        <v>2610.7199999999998</v>
      </c>
      <c r="K195" s="14">
        <v>4061.12</v>
      </c>
      <c r="L195" s="14">
        <v>3190.88</v>
      </c>
      <c r="M195" s="14">
        <v>4641.28</v>
      </c>
      <c r="N195" s="14">
        <v>1450.4</v>
      </c>
      <c r="O195" s="14">
        <v>2900.8</v>
      </c>
      <c r="P195" s="14">
        <v>2030.56</v>
      </c>
      <c r="Q195" s="14">
        <v>1450.4</v>
      </c>
      <c r="R195" s="14">
        <v>3097.1</v>
      </c>
      <c r="S195" s="14">
        <v>1238.8399999999999</v>
      </c>
      <c r="T195" s="14">
        <v>2167.9699999999998</v>
      </c>
      <c r="U195" s="73">
        <f t="shared" ref="U195:U208" si="115">SUM(I195:T195)</f>
        <v>31450.79</v>
      </c>
      <c r="W195" s="49">
        <f t="shared" ref="W195:W208" si="116">IFERROR(I195/$E195,0)</f>
        <v>9</v>
      </c>
      <c r="X195" s="49">
        <f t="shared" ref="X195:X208" si="117">IFERROR(J195/$E195,0)</f>
        <v>9</v>
      </c>
      <c r="Y195" s="49">
        <f t="shared" ref="Y195:Y208" si="118">IFERROR(K195/$E195,0)</f>
        <v>14</v>
      </c>
      <c r="Z195" s="49">
        <f t="shared" ref="Z195:Z208" si="119">IFERROR(L195/$F195,0)</f>
        <v>11.000000000000002</v>
      </c>
      <c r="AA195" s="49">
        <f t="shared" ref="AA195:AA208" si="120">IFERROR(M195/$F195,0)</f>
        <v>16</v>
      </c>
      <c r="AB195" s="49">
        <f t="shared" ref="AB195:AB208" si="121">IFERROR(N195/$F195,0)</f>
        <v>5.0000000000000009</v>
      </c>
      <c r="AC195" s="49">
        <f t="shared" ref="AC195:AC208" si="122">IFERROR(O195/$F195,0)</f>
        <v>10.000000000000002</v>
      </c>
      <c r="AD195" s="49">
        <f t="shared" ref="AD195:AD208" si="123">IFERROR(P195/$F195,0)</f>
        <v>7</v>
      </c>
      <c r="AE195" s="49">
        <f t="shared" ref="AE195:AE208" si="124">IFERROR(Q195/$F195,0)</f>
        <v>5.0000000000000009</v>
      </c>
      <c r="AF195" s="49">
        <f t="shared" ref="AF195:AF208" si="125">IFERROR(R195/$G195,0)</f>
        <v>10</v>
      </c>
      <c r="AG195" s="49">
        <f t="shared" ref="AG195:AG208" si="126">IFERROR(S195/$G195,0)</f>
        <v>4</v>
      </c>
      <c r="AH195" s="49">
        <f t="shared" ref="AH195:AH208" si="127">IFERROR(T195/$G195,0)</f>
        <v>7</v>
      </c>
      <c r="AI195" s="47">
        <f t="shared" ref="AI195:AI208" si="128">+IFERROR(AVERAGE(W195:AH195),0)</f>
        <v>8.9166666666666661</v>
      </c>
      <c r="AJ195" s="134">
        <f t="shared" ref="AJ195:AJ208" si="129">SUM(W195:AH195)</f>
        <v>107</v>
      </c>
      <c r="AK195" s="45"/>
    </row>
    <row r="196" spans="2:46" x14ac:dyDescent="0.2">
      <c r="B196" s="1" t="str">
        <f t="shared" ref="B196:B208" si="130">"Wash"&amp;"roll off"&amp;C196</f>
        <v>Washroll offWAHAUL30</v>
      </c>
      <c r="C196" s="58" t="s">
        <v>982</v>
      </c>
      <c r="D196" s="58" t="s">
        <v>990</v>
      </c>
      <c r="E196" s="11">
        <v>347.26</v>
      </c>
      <c r="F196" s="11">
        <v>347.26</v>
      </c>
      <c r="G196" s="11">
        <v>370.77</v>
      </c>
      <c r="I196" s="14">
        <v>11112.32</v>
      </c>
      <c r="J196" s="14">
        <v>14932.18</v>
      </c>
      <c r="K196" s="14">
        <v>14237.66</v>
      </c>
      <c r="L196" s="14">
        <v>9376.02</v>
      </c>
      <c r="M196" s="14">
        <v>13890.4</v>
      </c>
      <c r="N196" s="14">
        <v>8334.24</v>
      </c>
      <c r="O196" s="14">
        <v>12154.1</v>
      </c>
      <c r="P196" s="14">
        <v>9028.76</v>
      </c>
      <c r="Q196" s="14">
        <v>8334.24</v>
      </c>
      <c r="R196" s="14">
        <v>10752.33</v>
      </c>
      <c r="S196" s="14">
        <v>12606.18</v>
      </c>
      <c r="T196" s="14">
        <v>12235.41</v>
      </c>
      <c r="U196" s="73">
        <f t="shared" si="115"/>
        <v>136993.84000000003</v>
      </c>
      <c r="W196" s="49">
        <f t="shared" si="116"/>
        <v>32</v>
      </c>
      <c r="X196" s="49">
        <f t="shared" si="117"/>
        <v>43</v>
      </c>
      <c r="Y196" s="49">
        <f t="shared" si="118"/>
        <v>41</v>
      </c>
      <c r="Z196" s="49">
        <f t="shared" si="119"/>
        <v>27.000000000000004</v>
      </c>
      <c r="AA196" s="49">
        <f t="shared" si="120"/>
        <v>40</v>
      </c>
      <c r="AB196" s="49">
        <f t="shared" si="121"/>
        <v>24</v>
      </c>
      <c r="AC196" s="49">
        <f t="shared" si="122"/>
        <v>35</v>
      </c>
      <c r="AD196" s="49">
        <f t="shared" si="123"/>
        <v>26</v>
      </c>
      <c r="AE196" s="49">
        <f t="shared" si="124"/>
        <v>24</v>
      </c>
      <c r="AF196" s="49">
        <f t="shared" si="125"/>
        <v>29</v>
      </c>
      <c r="AG196" s="49">
        <f t="shared" si="126"/>
        <v>34</v>
      </c>
      <c r="AH196" s="49">
        <f t="shared" si="127"/>
        <v>33</v>
      </c>
      <c r="AI196" s="47">
        <f t="shared" si="128"/>
        <v>32.333333333333336</v>
      </c>
      <c r="AJ196" s="134">
        <f t="shared" si="129"/>
        <v>388</v>
      </c>
      <c r="AK196" s="45"/>
    </row>
    <row r="197" spans="2:46" x14ac:dyDescent="0.2">
      <c r="B197" s="1" t="str">
        <f t="shared" si="130"/>
        <v>Washroll offWAHAUL40</v>
      </c>
      <c r="C197" s="58" t="s">
        <v>983</v>
      </c>
      <c r="D197" s="58" t="s">
        <v>991</v>
      </c>
      <c r="E197" s="11">
        <v>405.45</v>
      </c>
      <c r="F197" s="11">
        <v>405.45</v>
      </c>
      <c r="G197" s="11">
        <v>432.89</v>
      </c>
      <c r="I197" s="14">
        <v>15407.1</v>
      </c>
      <c r="J197" s="14">
        <v>23516.1</v>
      </c>
      <c r="K197" s="14">
        <v>17434.349999999999</v>
      </c>
      <c r="L197" s="14">
        <v>15812.55</v>
      </c>
      <c r="M197" s="14">
        <v>9325.35</v>
      </c>
      <c r="N197" s="14">
        <v>7703.55</v>
      </c>
      <c r="O197" s="14">
        <v>11758.05</v>
      </c>
      <c r="P197" s="14">
        <v>15348.91</v>
      </c>
      <c r="Q197" s="14">
        <v>10947.15</v>
      </c>
      <c r="R197" s="14">
        <v>9901.59</v>
      </c>
      <c r="S197" s="14">
        <v>10389.36</v>
      </c>
      <c r="T197" s="14">
        <v>15151.15</v>
      </c>
      <c r="U197" s="73">
        <f t="shared" si="115"/>
        <v>162695.21</v>
      </c>
      <c r="W197" s="49">
        <f t="shared" si="116"/>
        <v>38</v>
      </c>
      <c r="X197" s="49">
        <f t="shared" si="117"/>
        <v>58</v>
      </c>
      <c r="Y197" s="49">
        <f t="shared" si="118"/>
        <v>43</v>
      </c>
      <c r="Z197" s="49">
        <f t="shared" si="119"/>
        <v>39</v>
      </c>
      <c r="AA197" s="49">
        <f t="shared" si="120"/>
        <v>23</v>
      </c>
      <c r="AB197" s="49">
        <f t="shared" si="121"/>
        <v>19</v>
      </c>
      <c r="AC197" s="49">
        <f t="shared" si="122"/>
        <v>29</v>
      </c>
      <c r="AD197" s="49">
        <f t="shared" si="123"/>
        <v>37.856480453816751</v>
      </c>
      <c r="AE197" s="49">
        <f t="shared" si="124"/>
        <v>27</v>
      </c>
      <c r="AF197" s="49">
        <f t="shared" si="125"/>
        <v>22.87322414470189</v>
      </c>
      <c r="AG197" s="49">
        <f t="shared" si="126"/>
        <v>24.000000000000004</v>
      </c>
      <c r="AH197" s="49">
        <f t="shared" si="127"/>
        <v>35</v>
      </c>
      <c r="AI197" s="47">
        <f t="shared" si="128"/>
        <v>32.977475383209885</v>
      </c>
      <c r="AJ197" s="134">
        <f t="shared" si="129"/>
        <v>395.72970459851865</v>
      </c>
      <c r="AK197" s="45"/>
    </row>
    <row r="198" spans="2:46" x14ac:dyDescent="0.2">
      <c r="B198" s="1" t="str">
        <f>"Wash"&amp;"roll off"&amp;C198</f>
        <v>Washroll offVHAUL40</v>
      </c>
      <c r="C198" s="58" t="s">
        <v>310</v>
      </c>
      <c r="D198" s="58" t="s">
        <v>354</v>
      </c>
      <c r="E198" s="11">
        <v>405.45</v>
      </c>
      <c r="F198" s="11">
        <v>405.45</v>
      </c>
      <c r="G198" s="11">
        <v>432.89</v>
      </c>
      <c r="I198" s="14">
        <v>0</v>
      </c>
      <c r="J198" s="14">
        <v>0</v>
      </c>
      <c r="K198" s="14">
        <v>405.45</v>
      </c>
      <c r="L198" s="14">
        <v>0</v>
      </c>
      <c r="M198" s="14">
        <v>0</v>
      </c>
      <c r="N198" s="14">
        <v>0</v>
      </c>
      <c r="O198" s="14">
        <v>0</v>
      </c>
      <c r="P198" s="14">
        <v>0</v>
      </c>
      <c r="Q198" s="14">
        <v>0</v>
      </c>
      <c r="R198" s="14">
        <v>0</v>
      </c>
      <c r="S198" s="14">
        <v>0</v>
      </c>
      <c r="T198" s="14">
        <v>0</v>
      </c>
      <c r="U198" s="73">
        <f>SUM(I198:T198)</f>
        <v>405.45</v>
      </c>
      <c r="W198" s="49">
        <f t="shared" si="116"/>
        <v>0</v>
      </c>
      <c r="X198" s="49">
        <f t="shared" si="117"/>
        <v>0</v>
      </c>
      <c r="Y198" s="49">
        <f t="shared" si="118"/>
        <v>1</v>
      </c>
      <c r="Z198" s="49">
        <f t="shared" si="119"/>
        <v>0</v>
      </c>
      <c r="AA198" s="49">
        <f t="shared" si="120"/>
        <v>0</v>
      </c>
      <c r="AB198" s="49">
        <f t="shared" si="121"/>
        <v>0</v>
      </c>
      <c r="AC198" s="49">
        <f t="shared" si="122"/>
        <v>0</v>
      </c>
      <c r="AD198" s="49">
        <f t="shared" si="123"/>
        <v>0</v>
      </c>
      <c r="AE198" s="49">
        <f t="shared" si="124"/>
        <v>0</v>
      </c>
      <c r="AF198" s="49">
        <f t="shared" si="125"/>
        <v>0</v>
      </c>
      <c r="AG198" s="49">
        <f t="shared" si="126"/>
        <v>0</v>
      </c>
      <c r="AH198" s="49">
        <f t="shared" si="127"/>
        <v>0</v>
      </c>
      <c r="AI198" s="47">
        <f>+IFERROR(AVERAGE(W198:AH198),0)</f>
        <v>8.3333333333333329E-2</v>
      </c>
      <c r="AJ198" s="134">
        <f>SUM(W198:AH198)</f>
        <v>1</v>
      </c>
      <c r="AK198" s="45"/>
    </row>
    <row r="199" spans="2:46" x14ac:dyDescent="0.2">
      <c r="B199" s="1" t="str">
        <f>"Wash"&amp;"roll off"&amp;C199</f>
        <v>Washroll offCER20YD</v>
      </c>
      <c r="C199" s="58" t="s">
        <v>305</v>
      </c>
      <c r="D199" s="58" t="s">
        <v>349</v>
      </c>
      <c r="E199" s="11">
        <v>290.08</v>
      </c>
      <c r="F199" s="11">
        <v>290.08</v>
      </c>
      <c r="G199" s="11">
        <v>309.70999999999998</v>
      </c>
      <c r="I199" s="14">
        <v>0</v>
      </c>
      <c r="J199" s="14">
        <v>0</v>
      </c>
      <c r="K199" s="14">
        <v>0</v>
      </c>
      <c r="L199" s="14">
        <v>0</v>
      </c>
      <c r="M199" s="14">
        <v>0</v>
      </c>
      <c r="N199" s="14">
        <v>0</v>
      </c>
      <c r="O199" s="14">
        <v>290.08</v>
      </c>
      <c r="P199" s="14">
        <v>0</v>
      </c>
      <c r="Q199" s="14">
        <v>0</v>
      </c>
      <c r="R199" s="14">
        <v>0</v>
      </c>
      <c r="S199" s="14">
        <v>0</v>
      </c>
      <c r="T199" s="14">
        <v>0</v>
      </c>
      <c r="U199" s="73">
        <f>SUM(I199:T199)</f>
        <v>290.08</v>
      </c>
      <c r="W199" s="49">
        <f t="shared" si="116"/>
        <v>0</v>
      </c>
      <c r="X199" s="49">
        <f t="shared" si="117"/>
        <v>0</v>
      </c>
      <c r="Y199" s="49">
        <f t="shared" si="118"/>
        <v>0</v>
      </c>
      <c r="Z199" s="49">
        <f t="shared" si="119"/>
        <v>0</v>
      </c>
      <c r="AA199" s="49">
        <f t="shared" si="120"/>
        <v>0</v>
      </c>
      <c r="AB199" s="49">
        <f t="shared" si="121"/>
        <v>0</v>
      </c>
      <c r="AC199" s="49">
        <f t="shared" si="122"/>
        <v>1</v>
      </c>
      <c r="AD199" s="49">
        <f t="shared" si="123"/>
        <v>0</v>
      </c>
      <c r="AE199" s="49">
        <f t="shared" si="124"/>
        <v>0</v>
      </c>
      <c r="AF199" s="49">
        <f t="shared" si="125"/>
        <v>0</v>
      </c>
      <c r="AG199" s="49">
        <f t="shared" si="126"/>
        <v>0</v>
      </c>
      <c r="AH199" s="49">
        <f t="shared" si="127"/>
        <v>0</v>
      </c>
      <c r="AI199" s="47">
        <f>+IFERROR(AVERAGE(W199:AH199),0)</f>
        <v>8.3333333333333329E-2</v>
      </c>
      <c r="AJ199" s="134">
        <f>SUM(W199:AH199)</f>
        <v>1</v>
      </c>
      <c r="AK199" s="45"/>
    </row>
    <row r="200" spans="2:46" x14ac:dyDescent="0.2">
      <c r="B200" s="1" t="str">
        <f t="shared" si="130"/>
        <v>Washroll offCTER40YD</v>
      </c>
      <c r="C200" s="58" t="s">
        <v>317</v>
      </c>
      <c r="D200" s="58" t="s">
        <v>362</v>
      </c>
      <c r="E200" s="11">
        <v>405.45</v>
      </c>
      <c r="F200" s="11">
        <v>405.45</v>
      </c>
      <c r="G200" s="11">
        <v>432.89</v>
      </c>
      <c r="I200" s="14">
        <v>0</v>
      </c>
      <c r="J200" s="14">
        <v>0</v>
      </c>
      <c r="K200" s="14">
        <v>0</v>
      </c>
      <c r="L200" s="14">
        <v>0</v>
      </c>
      <c r="M200" s="14">
        <v>0</v>
      </c>
      <c r="N200" s="14">
        <v>0</v>
      </c>
      <c r="O200" s="14">
        <v>405.45</v>
      </c>
      <c r="P200" s="14">
        <v>0</v>
      </c>
      <c r="Q200" s="14">
        <v>0</v>
      </c>
      <c r="R200" s="14">
        <v>0</v>
      </c>
      <c r="S200" s="14">
        <v>0</v>
      </c>
      <c r="T200" s="14">
        <v>0</v>
      </c>
      <c r="U200" s="73">
        <f t="shared" si="115"/>
        <v>405.45</v>
      </c>
      <c r="W200" s="49">
        <f t="shared" si="116"/>
        <v>0</v>
      </c>
      <c r="X200" s="49">
        <f t="shared" si="117"/>
        <v>0</v>
      </c>
      <c r="Y200" s="49">
        <f t="shared" si="118"/>
        <v>0</v>
      </c>
      <c r="Z200" s="49">
        <f t="shared" si="119"/>
        <v>0</v>
      </c>
      <c r="AA200" s="49">
        <f t="shared" si="120"/>
        <v>0</v>
      </c>
      <c r="AB200" s="49">
        <f t="shared" si="121"/>
        <v>0</v>
      </c>
      <c r="AC200" s="49">
        <f t="shared" si="122"/>
        <v>1</v>
      </c>
      <c r="AD200" s="49">
        <f t="shared" si="123"/>
        <v>0</v>
      </c>
      <c r="AE200" s="49">
        <f t="shared" si="124"/>
        <v>0</v>
      </c>
      <c r="AF200" s="49">
        <f t="shared" si="125"/>
        <v>0</v>
      </c>
      <c r="AG200" s="49">
        <f t="shared" si="126"/>
        <v>0</v>
      </c>
      <c r="AH200" s="49">
        <f t="shared" si="127"/>
        <v>0</v>
      </c>
      <c r="AI200" s="47">
        <f t="shared" si="128"/>
        <v>8.3333333333333329E-2</v>
      </c>
      <c r="AJ200" s="134">
        <f t="shared" si="129"/>
        <v>1</v>
      </c>
      <c r="AK200" s="45"/>
    </row>
    <row r="201" spans="2:46" x14ac:dyDescent="0.2">
      <c r="B201" s="1" t="str">
        <f>"Wash"&amp;"Roll Off"&amp;C201</f>
        <v>WashRoll OffWAHAULC</v>
      </c>
      <c r="C201" s="58" t="s">
        <v>984</v>
      </c>
      <c r="D201" s="58" t="s">
        <v>992</v>
      </c>
      <c r="E201" s="11">
        <v>434.08</v>
      </c>
      <c r="F201" s="11">
        <v>434.08</v>
      </c>
      <c r="G201" s="11">
        <v>463.47</v>
      </c>
      <c r="I201" s="14">
        <v>868.16</v>
      </c>
      <c r="J201" s="14">
        <v>2170.4</v>
      </c>
      <c r="K201" s="14">
        <v>868.16</v>
      </c>
      <c r="L201" s="14">
        <v>2604.48</v>
      </c>
      <c r="M201" s="14">
        <v>2604.48</v>
      </c>
      <c r="N201" s="14">
        <v>3906.72</v>
      </c>
      <c r="O201" s="14">
        <v>2170.4</v>
      </c>
      <c r="P201" s="14">
        <v>2170.4</v>
      </c>
      <c r="Q201" s="14">
        <v>2604.48</v>
      </c>
      <c r="R201" s="14">
        <v>2780.81</v>
      </c>
      <c r="S201" s="14">
        <v>2317.35</v>
      </c>
      <c r="T201" s="14">
        <v>2317.35</v>
      </c>
      <c r="U201" s="73">
        <f t="shared" si="115"/>
        <v>27383.19</v>
      </c>
      <c r="W201" s="49">
        <f t="shared" si="116"/>
        <v>2</v>
      </c>
      <c r="X201" s="49">
        <f t="shared" si="117"/>
        <v>5</v>
      </c>
      <c r="Y201" s="49">
        <f t="shared" si="118"/>
        <v>2</v>
      </c>
      <c r="Z201" s="49">
        <f t="shared" si="119"/>
        <v>6</v>
      </c>
      <c r="AA201" s="49">
        <f t="shared" si="120"/>
        <v>6</v>
      </c>
      <c r="AB201" s="49">
        <f t="shared" si="121"/>
        <v>9</v>
      </c>
      <c r="AC201" s="49">
        <f t="shared" si="122"/>
        <v>5</v>
      </c>
      <c r="AD201" s="49">
        <f t="shared" si="123"/>
        <v>5</v>
      </c>
      <c r="AE201" s="49">
        <f t="shared" si="124"/>
        <v>6</v>
      </c>
      <c r="AF201" s="49">
        <f t="shared" si="125"/>
        <v>5.9999784236304397</v>
      </c>
      <c r="AG201" s="49">
        <f t="shared" si="126"/>
        <v>4.9999999999999991</v>
      </c>
      <c r="AH201" s="49">
        <f t="shared" si="127"/>
        <v>4.9999999999999991</v>
      </c>
      <c r="AI201" s="47">
        <f t="shared" si="128"/>
        <v>5.1666648686358698</v>
      </c>
      <c r="AJ201" s="134">
        <f t="shared" si="129"/>
        <v>61.999978423630438</v>
      </c>
      <c r="AK201" s="45"/>
    </row>
    <row r="202" spans="2:46" s="274" customFormat="1" x14ac:dyDescent="0.2">
      <c r="B202" s="241" t="str">
        <f>"Wash"&amp;"roll off"&amp;C202</f>
        <v>Washroll offWADEM20</v>
      </c>
      <c r="C202" s="232" t="s">
        <v>985</v>
      </c>
      <c r="D202" s="232" t="s">
        <v>993</v>
      </c>
      <c r="E202" s="238">
        <v>105.09</v>
      </c>
      <c r="F202" s="238">
        <v>105.09</v>
      </c>
      <c r="G202" s="238">
        <v>112.2</v>
      </c>
      <c r="I202" s="243">
        <v>749.64</v>
      </c>
      <c r="J202" s="243">
        <v>949.29</v>
      </c>
      <c r="K202" s="243">
        <v>1194.48</v>
      </c>
      <c r="L202" s="243">
        <v>1303.08</v>
      </c>
      <c r="M202" s="243">
        <v>945.77</v>
      </c>
      <c r="N202" s="243">
        <v>760.15</v>
      </c>
      <c r="O202" s="243">
        <v>854.73</v>
      </c>
      <c r="P202" s="243">
        <v>879.26</v>
      </c>
      <c r="Q202" s="243">
        <v>1015.87</v>
      </c>
      <c r="R202" s="243">
        <v>1215.5</v>
      </c>
      <c r="S202" s="243">
        <v>1009.8</v>
      </c>
      <c r="T202" s="243">
        <v>893.86</v>
      </c>
      <c r="U202" s="263">
        <f t="shared" si="115"/>
        <v>11771.43</v>
      </c>
      <c r="W202" s="264">
        <f t="shared" si="116"/>
        <v>7.1333143020268341</v>
      </c>
      <c r="X202" s="264">
        <f t="shared" si="117"/>
        <v>9.0331144733085917</v>
      </c>
      <c r="Y202" s="264">
        <f t="shared" si="118"/>
        <v>11.366257493576933</v>
      </c>
      <c r="Z202" s="264">
        <f t="shared" si="119"/>
        <v>12.399657436483013</v>
      </c>
      <c r="AA202" s="264">
        <f t="shared" si="120"/>
        <v>8.999619373870015</v>
      </c>
      <c r="AB202" s="264">
        <f t="shared" si="121"/>
        <v>7.2333238176800831</v>
      </c>
      <c r="AC202" s="264">
        <f t="shared" si="122"/>
        <v>8.1333143020268341</v>
      </c>
      <c r="AD202" s="264">
        <f t="shared" si="123"/>
        <v>8.3667332762394135</v>
      </c>
      <c r="AE202" s="264">
        <f t="shared" si="124"/>
        <v>9.6666666666666661</v>
      </c>
      <c r="AF202" s="264">
        <f t="shared" si="125"/>
        <v>10.833333333333334</v>
      </c>
      <c r="AG202" s="264">
        <f t="shared" si="126"/>
        <v>9</v>
      </c>
      <c r="AH202" s="264">
        <f t="shared" si="127"/>
        <v>7.9666666666666668</v>
      </c>
      <c r="AI202" s="265">
        <f t="shared" si="128"/>
        <v>9.1776667618231986</v>
      </c>
      <c r="AJ202" s="266">
        <f t="shared" si="129"/>
        <v>110.13200114187839</v>
      </c>
      <c r="AK202" s="253"/>
      <c r="AM202" s="241">
        <v>0</v>
      </c>
      <c r="AN202" s="240">
        <f>+$AI202*AM202</f>
        <v>0</v>
      </c>
      <c r="AO202" s="241">
        <v>0</v>
      </c>
      <c r="AP202" s="240">
        <f>+$AI202*AO202</f>
        <v>0</v>
      </c>
      <c r="AQ202" s="241">
        <v>1</v>
      </c>
      <c r="AR202" s="240">
        <f>+$AI202*AQ202</f>
        <v>9.1776667618231986</v>
      </c>
      <c r="AS202" s="241">
        <v>0</v>
      </c>
      <c r="AT202" s="240">
        <f>+$AI202*AS202</f>
        <v>0</v>
      </c>
    </row>
    <row r="203" spans="2:46" s="274" customFormat="1" x14ac:dyDescent="0.2">
      <c r="B203" s="241" t="str">
        <f t="shared" si="130"/>
        <v>Washroll offWADEM30</v>
      </c>
      <c r="C203" s="232" t="s">
        <v>986</v>
      </c>
      <c r="D203" s="232" t="s">
        <v>994</v>
      </c>
      <c r="E203" s="238">
        <v>132.9</v>
      </c>
      <c r="F203" s="238">
        <v>132.9</v>
      </c>
      <c r="G203" s="238">
        <v>141.9</v>
      </c>
      <c r="I203" s="243">
        <v>1572.64</v>
      </c>
      <c r="J203" s="243">
        <v>1634.6699999999998</v>
      </c>
      <c r="K203" s="243">
        <v>1448.58</v>
      </c>
      <c r="L203" s="243">
        <v>1444.17</v>
      </c>
      <c r="M203" s="243">
        <v>1634.65</v>
      </c>
      <c r="N203" s="243">
        <v>1754.28</v>
      </c>
      <c r="O203" s="243">
        <v>1674.54</v>
      </c>
      <c r="P203" s="243">
        <v>1550.5</v>
      </c>
      <c r="Q203" s="243">
        <v>1581.51</v>
      </c>
      <c r="R203" s="243">
        <v>1598.74</v>
      </c>
      <c r="S203" s="243">
        <v>1560.9</v>
      </c>
      <c r="T203" s="243">
        <v>1419</v>
      </c>
      <c r="U203" s="263">
        <f t="shared" si="115"/>
        <v>18874.18</v>
      </c>
      <c r="W203" s="264">
        <f t="shared" si="116"/>
        <v>11.833258088788563</v>
      </c>
      <c r="X203" s="264">
        <f t="shared" si="117"/>
        <v>12.299999999999999</v>
      </c>
      <c r="Y203" s="264">
        <f t="shared" si="118"/>
        <v>10.899774266365688</v>
      </c>
      <c r="Z203" s="264">
        <f t="shared" si="119"/>
        <v>10.866591422121896</v>
      </c>
      <c r="AA203" s="264">
        <f t="shared" si="120"/>
        <v>12.299849510910459</v>
      </c>
      <c r="AB203" s="264">
        <f t="shared" si="121"/>
        <v>13.2</v>
      </c>
      <c r="AC203" s="264">
        <f t="shared" si="122"/>
        <v>12.6</v>
      </c>
      <c r="AD203" s="264">
        <f t="shared" si="123"/>
        <v>11.666666666666666</v>
      </c>
      <c r="AE203" s="264">
        <f t="shared" si="124"/>
        <v>11.899999999999999</v>
      </c>
      <c r="AF203" s="264">
        <f t="shared" si="125"/>
        <v>11.266666666666666</v>
      </c>
      <c r="AG203" s="264">
        <f t="shared" si="126"/>
        <v>11</v>
      </c>
      <c r="AH203" s="264">
        <f t="shared" si="127"/>
        <v>10</v>
      </c>
      <c r="AI203" s="265">
        <f t="shared" si="128"/>
        <v>11.65273388512666</v>
      </c>
      <c r="AJ203" s="266">
        <f t="shared" si="129"/>
        <v>139.83280662151992</v>
      </c>
      <c r="AK203" s="253"/>
      <c r="AM203" s="241">
        <v>0</v>
      </c>
      <c r="AN203" s="240">
        <f>+$AI203*AM203</f>
        <v>0</v>
      </c>
      <c r="AO203" s="241">
        <v>0</v>
      </c>
      <c r="AP203" s="240">
        <f>+$AI203*AO203</f>
        <v>0</v>
      </c>
      <c r="AQ203" s="241">
        <v>1</v>
      </c>
      <c r="AR203" s="240">
        <f>+$AI203*AQ203</f>
        <v>11.65273388512666</v>
      </c>
      <c r="AS203" s="241">
        <v>0</v>
      </c>
      <c r="AT203" s="240">
        <f>+$AI203*AS203</f>
        <v>0</v>
      </c>
    </row>
    <row r="204" spans="2:46" s="274" customFormat="1" x14ac:dyDescent="0.2">
      <c r="B204" s="241" t="str">
        <f t="shared" si="130"/>
        <v>Washroll offWADEM40</v>
      </c>
      <c r="C204" s="232" t="s">
        <v>987</v>
      </c>
      <c r="D204" s="232" t="s">
        <v>995</v>
      </c>
      <c r="E204" s="238">
        <v>153.99</v>
      </c>
      <c r="F204" s="238">
        <v>153.99</v>
      </c>
      <c r="G204" s="238">
        <v>164.7</v>
      </c>
      <c r="I204" s="243">
        <v>1837.59</v>
      </c>
      <c r="J204" s="243">
        <v>2227.71</v>
      </c>
      <c r="K204" s="243">
        <v>1750.32</v>
      </c>
      <c r="L204" s="243">
        <v>1308.8499999999999</v>
      </c>
      <c r="M204" s="243">
        <v>1170.3399999999999</v>
      </c>
      <c r="N204" s="243">
        <v>923.94</v>
      </c>
      <c r="O204" s="243">
        <v>1057.3900000000001</v>
      </c>
      <c r="P204" s="243">
        <v>1339.72</v>
      </c>
      <c r="Q204" s="243">
        <v>1426.97</v>
      </c>
      <c r="R204" s="243">
        <v>1256.1400000000001</v>
      </c>
      <c r="S204" s="243">
        <v>1335.03</v>
      </c>
      <c r="T204" s="243">
        <v>1346.74</v>
      </c>
      <c r="U204" s="263">
        <f t="shared" si="115"/>
        <v>16980.739999999998</v>
      </c>
      <c r="W204" s="264">
        <f t="shared" si="116"/>
        <v>11.933177479057081</v>
      </c>
      <c r="X204" s="264">
        <f t="shared" si="117"/>
        <v>14.46658873952854</v>
      </c>
      <c r="Y204" s="264">
        <f t="shared" si="118"/>
        <v>11.366452367036819</v>
      </c>
      <c r="Z204" s="264">
        <f t="shared" si="119"/>
        <v>8.4995778946684837</v>
      </c>
      <c r="AA204" s="264">
        <f t="shared" si="120"/>
        <v>7.6001039028508339</v>
      </c>
      <c r="AB204" s="264">
        <f t="shared" si="121"/>
        <v>6</v>
      </c>
      <c r="AC204" s="264">
        <f t="shared" si="122"/>
        <v>6.8666147152412496</v>
      </c>
      <c r="AD204" s="264">
        <f t="shared" si="123"/>
        <v>8.7000454574972395</v>
      </c>
      <c r="AE204" s="264">
        <f t="shared" si="124"/>
        <v>9.2666406909539578</v>
      </c>
      <c r="AF204" s="264">
        <f t="shared" si="125"/>
        <v>7.626836672738313</v>
      </c>
      <c r="AG204" s="264">
        <f t="shared" si="126"/>
        <v>8.1058287795992712</v>
      </c>
      <c r="AH204" s="264">
        <f t="shared" si="127"/>
        <v>8.1769277474195512</v>
      </c>
      <c r="AI204" s="265">
        <f t="shared" si="128"/>
        <v>9.0507328705492789</v>
      </c>
      <c r="AJ204" s="266">
        <f t="shared" si="129"/>
        <v>108.60879444659135</v>
      </c>
      <c r="AK204" s="253"/>
      <c r="AM204" s="241">
        <v>0</v>
      </c>
      <c r="AN204" s="240">
        <f>+$AI204*AM204</f>
        <v>0</v>
      </c>
      <c r="AO204" s="241">
        <v>0</v>
      </c>
      <c r="AP204" s="240">
        <f>+$AI204*AO204</f>
        <v>0</v>
      </c>
      <c r="AQ204" s="241">
        <v>1</v>
      </c>
      <c r="AR204" s="240">
        <f>+$AI204*AQ204</f>
        <v>9.0507328705492789</v>
      </c>
      <c r="AS204" s="241">
        <v>0</v>
      </c>
      <c r="AT204" s="240">
        <f>+$AI204*AS204</f>
        <v>0</v>
      </c>
    </row>
    <row r="205" spans="2:46" s="274" customFormat="1" x14ac:dyDescent="0.2">
      <c r="B205" s="241" t="str">
        <f t="shared" si="130"/>
        <v>Washroll offWADEMLID30</v>
      </c>
      <c r="C205" s="232" t="s">
        <v>988</v>
      </c>
      <c r="D205" s="232" t="s">
        <v>670</v>
      </c>
      <c r="E205" s="238">
        <v>170.68</v>
      </c>
      <c r="F205" s="238">
        <v>170.68</v>
      </c>
      <c r="G205" s="238">
        <v>182.24</v>
      </c>
      <c r="I205" s="243">
        <v>682.72</v>
      </c>
      <c r="J205" s="243">
        <v>682.72</v>
      </c>
      <c r="K205" s="243">
        <v>682.72</v>
      </c>
      <c r="L205" s="243">
        <v>682.72</v>
      </c>
      <c r="M205" s="243">
        <v>682.72</v>
      </c>
      <c r="N205" s="243">
        <v>682.72</v>
      </c>
      <c r="O205" s="243">
        <v>512.04</v>
      </c>
      <c r="P205" s="243">
        <v>512.04</v>
      </c>
      <c r="Q205" s="243">
        <v>512.04</v>
      </c>
      <c r="R205" s="243">
        <v>546.72</v>
      </c>
      <c r="S205" s="243">
        <v>546.72</v>
      </c>
      <c r="T205" s="243">
        <v>546.72</v>
      </c>
      <c r="U205" s="263">
        <f t="shared" si="115"/>
        <v>7272.6000000000013</v>
      </c>
      <c r="W205" s="264">
        <f t="shared" si="116"/>
        <v>4</v>
      </c>
      <c r="X205" s="264">
        <f t="shared" si="117"/>
        <v>4</v>
      </c>
      <c r="Y205" s="264">
        <f t="shared" si="118"/>
        <v>4</v>
      </c>
      <c r="Z205" s="264">
        <f t="shared" si="119"/>
        <v>4</v>
      </c>
      <c r="AA205" s="264">
        <f t="shared" si="120"/>
        <v>4</v>
      </c>
      <c r="AB205" s="264">
        <f t="shared" si="121"/>
        <v>4</v>
      </c>
      <c r="AC205" s="264">
        <f t="shared" si="122"/>
        <v>2.9999999999999996</v>
      </c>
      <c r="AD205" s="264">
        <f t="shared" si="123"/>
        <v>2.9999999999999996</v>
      </c>
      <c r="AE205" s="264">
        <f t="shared" si="124"/>
        <v>2.9999999999999996</v>
      </c>
      <c r="AF205" s="264">
        <f t="shared" si="125"/>
        <v>3</v>
      </c>
      <c r="AG205" s="264">
        <f t="shared" si="126"/>
        <v>3</v>
      </c>
      <c r="AH205" s="264">
        <f t="shared" si="127"/>
        <v>3</v>
      </c>
      <c r="AI205" s="265">
        <f t="shared" si="128"/>
        <v>3.5</v>
      </c>
      <c r="AJ205" s="266">
        <f t="shared" si="129"/>
        <v>42</v>
      </c>
      <c r="AK205" s="253"/>
      <c r="AM205" s="241">
        <v>0</v>
      </c>
      <c r="AN205" s="240">
        <f>+$AI205*AM205</f>
        <v>0</v>
      </c>
      <c r="AO205" s="241">
        <v>0</v>
      </c>
      <c r="AP205" s="240">
        <f>+$AI205*AO205</f>
        <v>0</v>
      </c>
      <c r="AQ205" s="241">
        <v>1</v>
      </c>
      <c r="AR205" s="240">
        <f>+$AI205*AQ205</f>
        <v>3.5</v>
      </c>
      <c r="AS205" s="241">
        <v>0</v>
      </c>
      <c r="AT205" s="240">
        <f>+$AI205*AS205</f>
        <v>0</v>
      </c>
    </row>
    <row r="206" spans="2:46" x14ac:dyDescent="0.2">
      <c r="B206" s="1" t="str">
        <f t="shared" si="130"/>
        <v>Washroll offVDTIME</v>
      </c>
      <c r="C206" s="58" t="s">
        <v>342</v>
      </c>
      <c r="D206" s="58" t="s">
        <v>387</v>
      </c>
      <c r="E206" s="11">
        <v>1.96</v>
      </c>
      <c r="F206" s="11">
        <v>1.96</v>
      </c>
      <c r="G206" s="11">
        <v>2.09</v>
      </c>
      <c r="I206" s="14">
        <v>29.4</v>
      </c>
      <c r="J206" s="14">
        <v>29.4</v>
      </c>
      <c r="K206" s="14">
        <v>0</v>
      </c>
      <c r="L206" s="14">
        <v>0</v>
      </c>
      <c r="M206" s="14">
        <v>0</v>
      </c>
      <c r="N206" s="14">
        <v>0</v>
      </c>
      <c r="O206" s="14">
        <v>0</v>
      </c>
      <c r="P206" s="14">
        <v>58.8</v>
      </c>
      <c r="Q206" s="14">
        <v>0</v>
      </c>
      <c r="R206" s="14">
        <v>62.7</v>
      </c>
      <c r="S206" s="14">
        <v>0</v>
      </c>
      <c r="T206" s="14">
        <v>62.7</v>
      </c>
      <c r="U206" s="73">
        <f t="shared" si="115"/>
        <v>243</v>
      </c>
      <c r="W206" s="49">
        <f t="shared" si="116"/>
        <v>15</v>
      </c>
      <c r="X206" s="49">
        <f t="shared" si="117"/>
        <v>15</v>
      </c>
      <c r="Y206" s="49">
        <f t="shared" si="118"/>
        <v>0</v>
      </c>
      <c r="Z206" s="49">
        <f t="shared" si="119"/>
        <v>0</v>
      </c>
      <c r="AA206" s="49">
        <f t="shared" si="120"/>
        <v>0</v>
      </c>
      <c r="AB206" s="49">
        <f t="shared" si="121"/>
        <v>0</v>
      </c>
      <c r="AC206" s="49">
        <f t="shared" si="122"/>
        <v>0</v>
      </c>
      <c r="AD206" s="49">
        <f t="shared" si="123"/>
        <v>30</v>
      </c>
      <c r="AE206" s="49">
        <f t="shared" si="124"/>
        <v>0</v>
      </c>
      <c r="AF206" s="49">
        <f t="shared" si="125"/>
        <v>30.000000000000004</v>
      </c>
      <c r="AG206" s="49">
        <f t="shared" si="126"/>
        <v>0</v>
      </c>
      <c r="AH206" s="49">
        <f t="shared" si="127"/>
        <v>30.000000000000004</v>
      </c>
      <c r="AI206" s="47">
        <f t="shared" si="128"/>
        <v>10</v>
      </c>
      <c r="AJ206" s="134">
        <f t="shared" si="129"/>
        <v>120</v>
      </c>
      <c r="AK206" s="45"/>
    </row>
    <row r="207" spans="2:46" x14ac:dyDescent="0.2">
      <c r="B207" s="1" t="str">
        <f t="shared" si="130"/>
        <v>Washroll offDBTRIP</v>
      </c>
      <c r="C207" s="58" t="s">
        <v>344</v>
      </c>
      <c r="D207" s="58" t="s">
        <v>389</v>
      </c>
      <c r="E207" s="11">
        <v>46.13</v>
      </c>
      <c r="F207" s="11">
        <v>46.13</v>
      </c>
      <c r="G207" s="11">
        <v>49.25</v>
      </c>
      <c r="I207" s="14">
        <v>553.55999999999995</v>
      </c>
      <c r="J207" s="14">
        <v>415.17</v>
      </c>
      <c r="K207" s="14">
        <v>553.55999999999995</v>
      </c>
      <c r="L207" s="14">
        <v>645.82000000000005</v>
      </c>
      <c r="M207" s="14">
        <v>369.04</v>
      </c>
      <c r="N207" s="14">
        <v>230.65</v>
      </c>
      <c r="O207" s="14">
        <v>138.38999999999999</v>
      </c>
      <c r="P207" s="14">
        <v>322.91000000000003</v>
      </c>
      <c r="Q207" s="14">
        <v>369.04</v>
      </c>
      <c r="R207" s="14">
        <v>147.75</v>
      </c>
      <c r="S207" s="14">
        <v>246.25</v>
      </c>
      <c r="T207" s="14">
        <v>49.25</v>
      </c>
      <c r="U207" s="73">
        <f t="shared" si="115"/>
        <v>4041.39</v>
      </c>
      <c r="W207" s="49">
        <f t="shared" si="116"/>
        <v>11.999999999999998</v>
      </c>
      <c r="X207" s="49">
        <f t="shared" si="117"/>
        <v>9</v>
      </c>
      <c r="Y207" s="49">
        <f t="shared" si="118"/>
        <v>11.999999999999998</v>
      </c>
      <c r="Z207" s="49">
        <f t="shared" si="119"/>
        <v>14</v>
      </c>
      <c r="AA207" s="49">
        <f t="shared" si="120"/>
        <v>8</v>
      </c>
      <c r="AB207" s="49">
        <f t="shared" si="121"/>
        <v>5</v>
      </c>
      <c r="AC207" s="49">
        <f t="shared" si="122"/>
        <v>2.9999999999999996</v>
      </c>
      <c r="AD207" s="49">
        <f t="shared" si="123"/>
        <v>7</v>
      </c>
      <c r="AE207" s="49">
        <f t="shared" si="124"/>
        <v>8</v>
      </c>
      <c r="AF207" s="49">
        <f t="shared" si="125"/>
        <v>3</v>
      </c>
      <c r="AG207" s="49">
        <f t="shared" si="126"/>
        <v>5</v>
      </c>
      <c r="AH207" s="49">
        <f t="shared" si="127"/>
        <v>1</v>
      </c>
      <c r="AI207" s="47">
        <f t="shared" si="128"/>
        <v>7.25</v>
      </c>
      <c r="AJ207" s="134">
        <f t="shared" si="129"/>
        <v>87</v>
      </c>
      <c r="AK207" s="45"/>
    </row>
    <row r="208" spans="2:46" x14ac:dyDescent="0.2">
      <c r="B208" s="1" t="str">
        <f t="shared" si="130"/>
        <v>Washroll offVLIDCHG</v>
      </c>
      <c r="C208" s="58" t="s">
        <v>910</v>
      </c>
      <c r="D208" s="58" t="s">
        <v>383</v>
      </c>
      <c r="E208" s="11">
        <v>37.78</v>
      </c>
      <c r="F208" s="11">
        <v>37.78</v>
      </c>
      <c r="G208" s="11">
        <v>40.340000000000003</v>
      </c>
      <c r="I208" s="14">
        <v>151.12</v>
      </c>
      <c r="J208" s="14">
        <v>151.12</v>
      </c>
      <c r="K208" s="14">
        <v>151.12</v>
      </c>
      <c r="L208" s="14">
        <v>151.12</v>
      </c>
      <c r="M208" s="14">
        <v>151.12</v>
      </c>
      <c r="N208" s="14">
        <v>151.12</v>
      </c>
      <c r="O208" s="14">
        <v>211.57</v>
      </c>
      <c r="P208" s="14">
        <v>226.68</v>
      </c>
      <c r="Q208" s="14">
        <v>238.01</v>
      </c>
      <c r="R208" s="14">
        <v>282.38</v>
      </c>
      <c r="S208" s="14">
        <v>282.38</v>
      </c>
      <c r="T208" s="14">
        <v>282.38</v>
      </c>
      <c r="U208" s="73">
        <f t="shared" si="115"/>
        <v>2430.1200000000003</v>
      </c>
      <c r="W208" s="49">
        <f t="shared" si="116"/>
        <v>4</v>
      </c>
      <c r="X208" s="49">
        <f t="shared" si="117"/>
        <v>4</v>
      </c>
      <c r="Y208" s="49">
        <f t="shared" si="118"/>
        <v>4</v>
      </c>
      <c r="Z208" s="49">
        <f t="shared" si="119"/>
        <v>4</v>
      </c>
      <c r="AA208" s="49">
        <f t="shared" si="120"/>
        <v>4</v>
      </c>
      <c r="AB208" s="49">
        <f t="shared" si="121"/>
        <v>4</v>
      </c>
      <c r="AC208" s="49">
        <f t="shared" si="122"/>
        <v>5.6000529380624666</v>
      </c>
      <c r="AD208" s="49">
        <f t="shared" si="123"/>
        <v>6</v>
      </c>
      <c r="AE208" s="49">
        <f t="shared" si="124"/>
        <v>6.2998941238750659</v>
      </c>
      <c r="AF208" s="49">
        <f t="shared" si="125"/>
        <v>6.9999999999999991</v>
      </c>
      <c r="AG208" s="49">
        <f t="shared" si="126"/>
        <v>6.9999999999999991</v>
      </c>
      <c r="AH208" s="49">
        <f t="shared" si="127"/>
        <v>6.9999999999999991</v>
      </c>
      <c r="AI208" s="47">
        <f t="shared" si="128"/>
        <v>5.2416622551614607</v>
      </c>
      <c r="AJ208" s="134">
        <f t="shared" si="129"/>
        <v>62.899947061937532</v>
      </c>
      <c r="AK208" s="45"/>
    </row>
    <row r="209" spans="1:46" x14ac:dyDescent="0.2">
      <c r="C209" s="45"/>
      <c r="D209" s="45"/>
      <c r="AK209" s="45"/>
    </row>
    <row r="210" spans="1:46" x14ac:dyDescent="0.2">
      <c r="C210" s="45"/>
      <c r="D210" s="52" t="s">
        <v>15</v>
      </c>
      <c r="I210" s="97">
        <f t="shared" ref="I210:U210" si="131">SUM(I195:I209)</f>
        <v>35574.97</v>
      </c>
      <c r="J210" s="97">
        <f t="shared" si="131"/>
        <v>49319.48</v>
      </c>
      <c r="K210" s="97">
        <f t="shared" si="131"/>
        <v>42787.520000000004</v>
      </c>
      <c r="L210" s="97">
        <f t="shared" si="131"/>
        <v>36519.69</v>
      </c>
      <c r="M210" s="97">
        <f t="shared" si="131"/>
        <v>35415.15</v>
      </c>
      <c r="N210" s="97">
        <f t="shared" si="131"/>
        <v>25897.77</v>
      </c>
      <c r="O210" s="97">
        <f t="shared" si="131"/>
        <v>34127.540000000008</v>
      </c>
      <c r="P210" s="97">
        <f t="shared" si="131"/>
        <v>33468.540000000008</v>
      </c>
      <c r="Q210" s="97">
        <f t="shared" si="131"/>
        <v>28479.71</v>
      </c>
      <c r="R210" s="97">
        <f t="shared" si="131"/>
        <v>31641.760000000006</v>
      </c>
      <c r="S210" s="97">
        <f t="shared" si="131"/>
        <v>31532.81</v>
      </c>
      <c r="T210" s="97">
        <f t="shared" si="131"/>
        <v>36472.529999999992</v>
      </c>
      <c r="U210" s="97">
        <f t="shared" si="131"/>
        <v>421237.47000000003</v>
      </c>
      <c r="V210" s="100"/>
      <c r="W210" s="191">
        <f>SUM(W202:W205)</f>
        <v>34.89974986987248</v>
      </c>
      <c r="X210" s="191">
        <f t="shared" ref="X210:AJ210" si="132">SUM(X202:X205)</f>
        <v>39.79970321283713</v>
      </c>
      <c r="Y210" s="191">
        <f t="shared" si="132"/>
        <v>37.632484126979442</v>
      </c>
      <c r="Z210" s="191">
        <f t="shared" si="132"/>
        <v>35.765826753273394</v>
      </c>
      <c r="AA210" s="191">
        <f t="shared" si="132"/>
        <v>32.899572787631307</v>
      </c>
      <c r="AB210" s="191">
        <f t="shared" si="132"/>
        <v>30.433323817680083</v>
      </c>
      <c r="AC210" s="191">
        <f t="shared" si="132"/>
        <v>30.599929017268082</v>
      </c>
      <c r="AD210" s="191">
        <f t="shared" si="132"/>
        <v>31.733445400403319</v>
      </c>
      <c r="AE210" s="191">
        <f t="shared" si="132"/>
        <v>33.833307357620619</v>
      </c>
      <c r="AF210" s="191">
        <f t="shared" si="132"/>
        <v>32.726836672738315</v>
      </c>
      <c r="AG210" s="191">
        <f t="shared" si="132"/>
        <v>31.105828779599271</v>
      </c>
      <c r="AH210" s="191">
        <f t="shared" si="132"/>
        <v>29.14359441408622</v>
      </c>
      <c r="AI210" s="191">
        <f t="shared" si="132"/>
        <v>33.381133517499137</v>
      </c>
      <c r="AJ210" s="191">
        <f t="shared" si="132"/>
        <v>400.57360220998964</v>
      </c>
      <c r="AK210" s="45"/>
      <c r="AN210" s="196">
        <f>SUM(AN202:AN205)</f>
        <v>0</v>
      </c>
      <c r="AP210" s="196">
        <f>SUM(AP202:AP205)</f>
        <v>0</v>
      </c>
      <c r="AR210" s="196">
        <f>SUM(AR202:AR205)</f>
        <v>33.381133517499137</v>
      </c>
      <c r="AT210" s="196">
        <f>SUM(AT202:AT205)</f>
        <v>0</v>
      </c>
    </row>
    <row r="211" spans="1:46" x14ac:dyDescent="0.2">
      <c r="C211" s="45"/>
      <c r="D211" s="52"/>
      <c r="I211" s="98"/>
      <c r="J211" s="79"/>
      <c r="K211" s="79"/>
      <c r="L211" s="79"/>
      <c r="M211" s="79"/>
      <c r="N211" s="79"/>
      <c r="O211" s="79"/>
      <c r="P211" s="79"/>
      <c r="Q211" s="79"/>
      <c r="R211" s="79"/>
      <c r="S211" s="79"/>
      <c r="T211" s="79"/>
      <c r="U211" s="79"/>
      <c r="AK211" s="45"/>
    </row>
    <row r="212" spans="1:46" s="45" customFormat="1" x14ac:dyDescent="0.2">
      <c r="C212" s="42" t="s">
        <v>42</v>
      </c>
      <c r="D212" s="42" t="s">
        <v>42</v>
      </c>
      <c r="E212" s="53"/>
      <c r="F212" s="53"/>
      <c r="G212" s="53"/>
      <c r="H212" s="46"/>
      <c r="I212" s="46"/>
      <c r="J212" s="54"/>
      <c r="K212" s="54"/>
      <c r="L212" s="49"/>
      <c r="M212" s="49"/>
      <c r="AJ212" s="40"/>
    </row>
    <row r="213" spans="1:46" s="45" customFormat="1" x14ac:dyDescent="0.2">
      <c r="A213" s="45" t="str">
        <f>"all"&amp;"roll off"&amp;C213</f>
        <v>allroll offDRHAUL15</v>
      </c>
      <c r="B213" s="1" t="str">
        <f t="shared" ref="B213:B220" si="133">"Wash"&amp;"roll off"&amp;C213</f>
        <v>Washroll offDRHAUL15</v>
      </c>
      <c r="C213" s="58" t="s">
        <v>618</v>
      </c>
      <c r="D213" s="58" t="s">
        <v>629</v>
      </c>
      <c r="E213" s="11">
        <v>240.5</v>
      </c>
      <c r="F213" s="11">
        <v>252.53000000000003</v>
      </c>
      <c r="G213" s="11">
        <v>252.53</v>
      </c>
      <c r="H213" s="55"/>
      <c r="I213" s="14">
        <v>0</v>
      </c>
      <c r="J213" s="14">
        <v>0</v>
      </c>
      <c r="K213" s="14">
        <v>240.5</v>
      </c>
      <c r="L213" s="14">
        <v>252.53</v>
      </c>
      <c r="M213" s="14">
        <v>0</v>
      </c>
      <c r="N213" s="14">
        <v>252.53</v>
      </c>
      <c r="O213" s="14">
        <v>252.53</v>
      </c>
      <c r="P213" s="14">
        <v>0</v>
      </c>
      <c r="Q213" s="14">
        <v>0</v>
      </c>
      <c r="R213" s="14">
        <v>252.53</v>
      </c>
      <c r="S213" s="14">
        <v>0</v>
      </c>
      <c r="T213" s="14">
        <v>0</v>
      </c>
      <c r="U213" s="73">
        <f t="shared" ref="U213:U220" si="134">SUM(I213:T213)</f>
        <v>1250.6199999999999</v>
      </c>
      <c r="W213" s="49">
        <f t="shared" ref="W213:W220" si="135">IFERROR(I213/$E213,0)</f>
        <v>0</v>
      </c>
      <c r="X213" s="49">
        <f t="shared" ref="X213:X220" si="136">IFERROR(J213/$E213,0)</f>
        <v>0</v>
      </c>
      <c r="Y213" s="49">
        <f t="shared" ref="Y213:Y220" si="137">IFERROR(K213/$E213,0)</f>
        <v>1</v>
      </c>
      <c r="Z213" s="49">
        <f t="shared" ref="Z213:Z220" si="138">IFERROR(L213/$F213,0)</f>
        <v>0.99999999999999989</v>
      </c>
      <c r="AA213" s="49">
        <f t="shared" ref="AA213:AA220" si="139">IFERROR(M213/$F213,0)</f>
        <v>0</v>
      </c>
      <c r="AB213" s="49">
        <f t="shared" ref="AB213:AB220" si="140">IFERROR(N213/$F213,0)</f>
        <v>0.99999999999999989</v>
      </c>
      <c r="AC213" s="49">
        <f t="shared" ref="AC213:AC220" si="141">IFERROR(O213/$F213,0)</f>
        <v>0.99999999999999989</v>
      </c>
      <c r="AD213" s="49">
        <f t="shared" ref="AD213:AD220" si="142">IFERROR(P213/$F213,0)</f>
        <v>0</v>
      </c>
      <c r="AE213" s="49">
        <f t="shared" ref="AE213:AE220" si="143">IFERROR(Q213/$F213,0)</f>
        <v>0</v>
      </c>
      <c r="AF213" s="49">
        <f t="shared" ref="AF213:AF220" si="144">IFERROR(R213/$G213,0)</f>
        <v>1</v>
      </c>
      <c r="AG213" s="49">
        <f t="shared" ref="AG213:AG220" si="145">IFERROR(S213/$G213,0)</f>
        <v>0</v>
      </c>
      <c r="AH213" s="49">
        <f t="shared" ref="AH213:AH220" si="146">IFERROR(T213/$G213,0)</f>
        <v>0</v>
      </c>
      <c r="AI213" s="47">
        <f t="shared" ref="AI213:AI220" si="147">+IFERROR(AVERAGE(W213:AH213),0)</f>
        <v>0.41666666666666669</v>
      </c>
      <c r="AJ213" s="134">
        <f t="shared" ref="AJ213:AJ220" si="148">SUM(W213:AH213)</f>
        <v>5</v>
      </c>
      <c r="AM213" s="1">
        <v>0</v>
      </c>
      <c r="AN213" s="13">
        <f>+$AI213*AM213</f>
        <v>0</v>
      </c>
      <c r="AO213" s="1">
        <v>0</v>
      </c>
      <c r="AP213" s="13">
        <f>+$AI213*AO213</f>
        <v>0</v>
      </c>
      <c r="AQ213" s="1">
        <v>1</v>
      </c>
      <c r="AR213" s="13">
        <f>+$AI213*AQ213</f>
        <v>0.41666666666666669</v>
      </c>
      <c r="AS213" s="1">
        <v>0</v>
      </c>
      <c r="AT213" s="13">
        <f>+$AI213*AS213</f>
        <v>0</v>
      </c>
    </row>
    <row r="214" spans="1:46" s="45" customFormat="1" x14ac:dyDescent="0.2">
      <c r="A214" s="45" t="str">
        <f t="shared" ref="A214:A220" si="149">"all"&amp;"roll off"&amp;C214</f>
        <v>allroll offDRHAUL20</v>
      </c>
      <c r="B214" s="1" t="str">
        <f t="shared" si="133"/>
        <v>Washroll offDRHAUL20</v>
      </c>
      <c r="C214" s="58" t="s">
        <v>619</v>
      </c>
      <c r="D214" s="58" t="s">
        <v>630</v>
      </c>
      <c r="E214" s="11">
        <v>240.5</v>
      </c>
      <c r="F214" s="11">
        <v>252.53000000000003</v>
      </c>
      <c r="G214" s="11">
        <v>252.53</v>
      </c>
      <c r="H214" s="55"/>
      <c r="I214" s="14">
        <v>240.5</v>
      </c>
      <c r="J214" s="14">
        <v>962</v>
      </c>
      <c r="K214" s="14">
        <v>240.5</v>
      </c>
      <c r="L214" s="14">
        <v>1010.12</v>
      </c>
      <c r="M214" s="14">
        <v>1010.12</v>
      </c>
      <c r="N214" s="14">
        <v>252.53</v>
      </c>
      <c r="O214" s="14">
        <v>757.59</v>
      </c>
      <c r="P214" s="14">
        <v>505.06</v>
      </c>
      <c r="Q214" s="14">
        <v>757.59</v>
      </c>
      <c r="R214" s="14">
        <v>757.59</v>
      </c>
      <c r="S214" s="14">
        <v>505.06</v>
      </c>
      <c r="T214" s="14">
        <v>757.59</v>
      </c>
      <c r="U214" s="73">
        <f t="shared" si="134"/>
        <v>7756.2500000000009</v>
      </c>
      <c r="W214" s="49">
        <f t="shared" si="135"/>
        <v>1</v>
      </c>
      <c r="X214" s="49">
        <f t="shared" si="136"/>
        <v>4</v>
      </c>
      <c r="Y214" s="49">
        <f t="shared" si="137"/>
        <v>1</v>
      </c>
      <c r="Z214" s="49">
        <f t="shared" si="138"/>
        <v>3.9999999999999996</v>
      </c>
      <c r="AA214" s="49">
        <f t="shared" si="139"/>
        <v>3.9999999999999996</v>
      </c>
      <c r="AB214" s="49">
        <f t="shared" si="140"/>
        <v>0.99999999999999989</v>
      </c>
      <c r="AC214" s="49">
        <f t="shared" si="141"/>
        <v>2.9999999999999996</v>
      </c>
      <c r="AD214" s="49">
        <f t="shared" si="142"/>
        <v>1.9999999999999998</v>
      </c>
      <c r="AE214" s="49">
        <f t="shared" si="143"/>
        <v>2.9999999999999996</v>
      </c>
      <c r="AF214" s="49">
        <f t="shared" si="144"/>
        <v>3</v>
      </c>
      <c r="AG214" s="49">
        <f t="shared" si="145"/>
        <v>2</v>
      </c>
      <c r="AH214" s="49">
        <f t="shared" si="146"/>
        <v>3</v>
      </c>
      <c r="AI214" s="47">
        <f t="shared" si="147"/>
        <v>2.5833333333333335</v>
      </c>
      <c r="AJ214" s="134">
        <f t="shared" si="148"/>
        <v>31</v>
      </c>
      <c r="AM214" s="1">
        <v>0</v>
      </c>
      <c r="AN214" s="13">
        <f>+$AI214*AM214</f>
        <v>0</v>
      </c>
      <c r="AO214" s="1">
        <v>0</v>
      </c>
      <c r="AP214" s="13">
        <f>+$AI214*AO214</f>
        <v>0</v>
      </c>
      <c r="AQ214" s="1">
        <v>1</v>
      </c>
      <c r="AR214" s="13">
        <f>+$AI214*AQ214</f>
        <v>2.5833333333333335</v>
      </c>
      <c r="AS214" s="1">
        <v>0</v>
      </c>
      <c r="AT214" s="13">
        <f>+$AI214*AS214</f>
        <v>0</v>
      </c>
    </row>
    <row r="215" spans="1:46" s="45" customFormat="1" x14ac:dyDescent="0.2">
      <c r="A215" s="45" t="str">
        <f t="shared" si="149"/>
        <v>allroll offDRHAUL30</v>
      </c>
      <c r="B215" s="1" t="str">
        <f t="shared" si="133"/>
        <v>Washroll offDRHAUL30</v>
      </c>
      <c r="C215" s="58" t="s">
        <v>620</v>
      </c>
      <c r="D215" s="58" t="s">
        <v>631</v>
      </c>
      <c r="E215" s="11">
        <v>240.5</v>
      </c>
      <c r="F215" s="11">
        <v>252.53000000000003</v>
      </c>
      <c r="G215" s="11">
        <v>252.53</v>
      </c>
      <c r="H215" s="55"/>
      <c r="I215" s="14">
        <v>481</v>
      </c>
      <c r="J215" s="14">
        <v>721.5</v>
      </c>
      <c r="K215" s="14">
        <v>1506.5</v>
      </c>
      <c r="L215" s="14">
        <v>505.06</v>
      </c>
      <c r="M215" s="14">
        <v>1010.12</v>
      </c>
      <c r="N215" s="14">
        <v>505.06</v>
      </c>
      <c r="O215" s="14">
        <v>757.59</v>
      </c>
      <c r="P215" s="14">
        <v>1262.6500000000001</v>
      </c>
      <c r="Q215" s="14">
        <v>757.59</v>
      </c>
      <c r="R215" s="14">
        <v>1010.12</v>
      </c>
      <c r="S215" s="14">
        <v>1262.6500000000001</v>
      </c>
      <c r="T215" s="14">
        <v>1010.12</v>
      </c>
      <c r="U215" s="73">
        <f t="shared" si="134"/>
        <v>10789.960000000003</v>
      </c>
      <c r="W215" s="49">
        <f t="shared" si="135"/>
        <v>2</v>
      </c>
      <c r="X215" s="49">
        <f t="shared" si="136"/>
        <v>3</v>
      </c>
      <c r="Y215" s="49">
        <f t="shared" si="137"/>
        <v>6.2640332640332641</v>
      </c>
      <c r="Z215" s="49">
        <f t="shared" si="138"/>
        <v>1.9999999999999998</v>
      </c>
      <c r="AA215" s="49">
        <f t="shared" si="139"/>
        <v>3.9999999999999996</v>
      </c>
      <c r="AB215" s="49">
        <f t="shared" si="140"/>
        <v>1.9999999999999998</v>
      </c>
      <c r="AC215" s="49">
        <f t="shared" si="141"/>
        <v>2.9999999999999996</v>
      </c>
      <c r="AD215" s="49">
        <f t="shared" si="142"/>
        <v>5</v>
      </c>
      <c r="AE215" s="49">
        <f t="shared" si="143"/>
        <v>2.9999999999999996</v>
      </c>
      <c r="AF215" s="49">
        <f t="shared" si="144"/>
        <v>4</v>
      </c>
      <c r="AG215" s="49">
        <f t="shared" si="145"/>
        <v>5</v>
      </c>
      <c r="AH215" s="49">
        <f t="shared" si="146"/>
        <v>4</v>
      </c>
      <c r="AI215" s="47">
        <f t="shared" si="147"/>
        <v>3.605336105336105</v>
      </c>
      <c r="AJ215" s="134">
        <f t="shared" si="148"/>
        <v>43.264033264033259</v>
      </c>
      <c r="AM215" s="1">
        <v>0</v>
      </c>
      <c r="AN215" s="13">
        <f>+$AI215*AM215</f>
        <v>0</v>
      </c>
      <c r="AO215" s="1">
        <v>0</v>
      </c>
      <c r="AP215" s="13">
        <f>+$AI215*AO215</f>
        <v>0</v>
      </c>
      <c r="AQ215" s="1">
        <v>1</v>
      </c>
      <c r="AR215" s="13">
        <f>+$AI215*AQ215</f>
        <v>3.605336105336105</v>
      </c>
      <c r="AS215" s="1">
        <v>0</v>
      </c>
      <c r="AT215" s="13">
        <f>+$AI215*AS215</f>
        <v>0</v>
      </c>
    </row>
    <row r="216" spans="1:46" s="45" customFormat="1" x14ac:dyDescent="0.2">
      <c r="A216" s="45" t="str">
        <f t="shared" si="149"/>
        <v>allroll offDRHAUL40</v>
      </c>
      <c r="B216" s="1" t="str">
        <f t="shared" si="133"/>
        <v>Washroll offDRHAUL40</v>
      </c>
      <c r="C216" s="58" t="s">
        <v>621</v>
      </c>
      <c r="D216" s="58" t="s">
        <v>632</v>
      </c>
      <c r="E216" s="11">
        <v>240.5</v>
      </c>
      <c r="F216" s="11">
        <v>252.53000000000003</v>
      </c>
      <c r="G216" s="11">
        <v>252.53</v>
      </c>
      <c r="H216" s="55"/>
      <c r="I216" s="14">
        <v>1924</v>
      </c>
      <c r="J216" s="14">
        <v>2886</v>
      </c>
      <c r="K216" s="14">
        <v>1924</v>
      </c>
      <c r="L216" s="14">
        <v>1767.71</v>
      </c>
      <c r="M216" s="14">
        <v>3282.89</v>
      </c>
      <c r="N216" s="14">
        <v>2513.27</v>
      </c>
      <c r="O216" s="14">
        <v>3030.36</v>
      </c>
      <c r="P216" s="14">
        <v>2777.83</v>
      </c>
      <c r="Q216" s="14">
        <v>2525.3000000000002</v>
      </c>
      <c r="R216" s="14">
        <v>1515.18</v>
      </c>
      <c r="S216" s="14">
        <v>2520.4899999999998</v>
      </c>
      <c r="T216" s="14">
        <v>4255.3</v>
      </c>
      <c r="U216" s="73">
        <f t="shared" si="134"/>
        <v>30922.329999999998</v>
      </c>
      <c r="W216" s="49">
        <f t="shared" si="135"/>
        <v>8</v>
      </c>
      <c r="X216" s="49">
        <f t="shared" si="136"/>
        <v>12</v>
      </c>
      <c r="Y216" s="49">
        <f t="shared" si="137"/>
        <v>8</v>
      </c>
      <c r="Z216" s="49">
        <f t="shared" si="138"/>
        <v>6.9999999999999991</v>
      </c>
      <c r="AA216" s="49">
        <f t="shared" si="139"/>
        <v>12.999999999999998</v>
      </c>
      <c r="AB216" s="49">
        <f t="shared" si="140"/>
        <v>9.9523620955926013</v>
      </c>
      <c r="AC216" s="49">
        <f t="shared" si="141"/>
        <v>11.999999999999998</v>
      </c>
      <c r="AD216" s="49">
        <f t="shared" si="142"/>
        <v>10.999999999999998</v>
      </c>
      <c r="AE216" s="49">
        <f t="shared" si="143"/>
        <v>10</v>
      </c>
      <c r="AF216" s="49">
        <f t="shared" si="144"/>
        <v>6</v>
      </c>
      <c r="AG216" s="49">
        <f t="shared" si="145"/>
        <v>9.9809527580881472</v>
      </c>
      <c r="AH216" s="49">
        <f t="shared" si="146"/>
        <v>16.850671207381303</v>
      </c>
      <c r="AI216" s="47">
        <f t="shared" si="147"/>
        <v>10.315332171755172</v>
      </c>
      <c r="AJ216" s="134">
        <f t="shared" si="148"/>
        <v>123.78398606106205</v>
      </c>
      <c r="AM216" s="1">
        <v>0</v>
      </c>
      <c r="AN216" s="13">
        <f>+$AI216*AM216</f>
        <v>0</v>
      </c>
      <c r="AO216" s="1">
        <v>0</v>
      </c>
      <c r="AP216" s="13">
        <f>+$AI216*AO216</f>
        <v>0</v>
      </c>
      <c r="AQ216" s="1">
        <v>1</v>
      </c>
      <c r="AR216" s="13">
        <f>+$AI216*AQ216</f>
        <v>10.315332171755172</v>
      </c>
      <c r="AS216" s="1">
        <v>0</v>
      </c>
      <c r="AT216" s="13">
        <f>+$AI216*AS216</f>
        <v>0</v>
      </c>
    </row>
    <row r="217" spans="1:46" s="45" customFormat="1" x14ac:dyDescent="0.2">
      <c r="A217" s="45" t="str">
        <f>"all"&amp;"roll off"&amp;C217</f>
        <v>allroll offCCOMP20</v>
      </c>
      <c r="B217" s="1" t="str">
        <f>"Wash"&amp;"roll off"&amp;C217</f>
        <v>Washroll offCCOMP20</v>
      </c>
      <c r="C217" s="58" t="s">
        <v>323</v>
      </c>
      <c r="D217" s="58" t="s">
        <v>368</v>
      </c>
      <c r="E217" s="11">
        <v>0</v>
      </c>
      <c r="F217" s="11">
        <v>0</v>
      </c>
      <c r="G217" s="11">
        <v>231.73500000000001</v>
      </c>
      <c r="H217" s="55"/>
      <c r="I217" s="14">
        <v>0</v>
      </c>
      <c r="J217" s="14">
        <v>0</v>
      </c>
      <c r="K217" s="14">
        <v>0</v>
      </c>
      <c r="L217" s="14">
        <v>0</v>
      </c>
      <c r="M217" s="14">
        <v>0</v>
      </c>
      <c r="N217" s="14">
        <v>0</v>
      </c>
      <c r="O217" s="14">
        <v>0</v>
      </c>
      <c r="P217" s="14">
        <v>0</v>
      </c>
      <c r="Q217" s="14">
        <v>0</v>
      </c>
      <c r="R217" s="14">
        <v>0</v>
      </c>
      <c r="S217" s="14">
        <v>0</v>
      </c>
      <c r="T217" s="14">
        <v>0</v>
      </c>
      <c r="U217" s="73">
        <f t="shared" si="134"/>
        <v>0</v>
      </c>
      <c r="W217" s="49">
        <f t="shared" si="135"/>
        <v>0</v>
      </c>
      <c r="X217" s="49">
        <f t="shared" si="136"/>
        <v>0</v>
      </c>
      <c r="Y217" s="49">
        <f t="shared" si="137"/>
        <v>0</v>
      </c>
      <c r="Z217" s="49">
        <f t="shared" si="138"/>
        <v>0</v>
      </c>
      <c r="AA217" s="49">
        <f t="shared" si="139"/>
        <v>0</v>
      </c>
      <c r="AB217" s="49">
        <f t="shared" si="140"/>
        <v>0</v>
      </c>
      <c r="AC217" s="49">
        <f t="shared" si="141"/>
        <v>0</v>
      </c>
      <c r="AD217" s="49">
        <f t="shared" si="142"/>
        <v>0</v>
      </c>
      <c r="AE217" s="49">
        <f t="shared" si="143"/>
        <v>0</v>
      </c>
      <c r="AF217" s="49">
        <f t="shared" si="144"/>
        <v>0</v>
      </c>
      <c r="AG217" s="49">
        <f t="shared" si="145"/>
        <v>0</v>
      </c>
      <c r="AH217" s="49">
        <f t="shared" si="146"/>
        <v>0</v>
      </c>
      <c r="AI217" s="47">
        <f t="shared" si="147"/>
        <v>0</v>
      </c>
      <c r="AJ217" s="134">
        <f t="shared" si="148"/>
        <v>0</v>
      </c>
    </row>
    <row r="218" spans="1:46" s="45" customFormat="1" x14ac:dyDescent="0.2">
      <c r="A218" s="45" t="str">
        <f>"all"&amp;"roll off"&amp;C218</f>
        <v>allroll offDRMIX</v>
      </c>
      <c r="B218" s="1" t="str">
        <f>"Wash"&amp;"roll off"&amp;C218</f>
        <v>Washroll offDRMIX</v>
      </c>
      <c r="C218" s="58" t="s">
        <v>723</v>
      </c>
      <c r="D218" s="58" t="s">
        <v>724</v>
      </c>
      <c r="E218" s="11">
        <v>0</v>
      </c>
      <c r="F218" s="11">
        <v>0</v>
      </c>
      <c r="G218" s="11">
        <v>0</v>
      </c>
      <c r="H218" s="55"/>
      <c r="I218" s="14">
        <v>110.16</v>
      </c>
      <c r="J218" s="14">
        <v>129.88</v>
      </c>
      <c r="K218" s="14">
        <v>140.16</v>
      </c>
      <c r="L218" s="14">
        <v>0</v>
      </c>
      <c r="M218" s="14">
        <v>117.53</v>
      </c>
      <c r="N218" s="14">
        <v>0</v>
      </c>
      <c r="O218" s="14">
        <v>160.58000000000001</v>
      </c>
      <c r="P218" s="14">
        <v>201.6</v>
      </c>
      <c r="Q218" s="14">
        <v>0</v>
      </c>
      <c r="R218" s="14">
        <v>0</v>
      </c>
      <c r="S218" s="14">
        <v>0</v>
      </c>
      <c r="T218" s="14">
        <v>41.82</v>
      </c>
      <c r="U218" s="73">
        <f t="shared" si="134"/>
        <v>901.73000000000013</v>
      </c>
      <c r="W218" s="49">
        <f t="shared" si="135"/>
        <v>0</v>
      </c>
      <c r="X218" s="49">
        <f t="shared" si="136"/>
        <v>0</v>
      </c>
      <c r="Y218" s="49">
        <f t="shared" si="137"/>
        <v>0</v>
      </c>
      <c r="Z218" s="49">
        <f t="shared" si="138"/>
        <v>0</v>
      </c>
      <c r="AA218" s="49">
        <f t="shared" si="139"/>
        <v>0</v>
      </c>
      <c r="AB218" s="49">
        <f t="shared" si="140"/>
        <v>0</v>
      </c>
      <c r="AC218" s="49">
        <f t="shared" si="141"/>
        <v>0</v>
      </c>
      <c r="AD218" s="49">
        <f t="shared" si="142"/>
        <v>0</v>
      </c>
      <c r="AE218" s="49">
        <f t="shared" si="143"/>
        <v>0</v>
      </c>
      <c r="AF218" s="49">
        <f t="shared" si="144"/>
        <v>0</v>
      </c>
      <c r="AG218" s="49">
        <f t="shared" si="145"/>
        <v>0</v>
      </c>
      <c r="AH218" s="49">
        <f t="shared" si="146"/>
        <v>0</v>
      </c>
      <c r="AI218" s="47">
        <f t="shared" si="147"/>
        <v>0</v>
      </c>
      <c r="AJ218" s="134">
        <f t="shared" si="148"/>
        <v>0</v>
      </c>
    </row>
    <row r="219" spans="1:46" s="45" customFormat="1" x14ac:dyDescent="0.2">
      <c r="A219" s="45" t="str">
        <f t="shared" si="149"/>
        <v>allroll offCTLIDCHG</v>
      </c>
      <c r="B219" s="1" t="str">
        <f t="shared" si="133"/>
        <v>Washroll offCTLIDCHG</v>
      </c>
      <c r="C219" s="288" t="s">
        <v>339</v>
      </c>
      <c r="D219" s="288" t="s">
        <v>384</v>
      </c>
      <c r="E219" s="203">
        <v>0</v>
      </c>
      <c r="F219" s="203">
        <v>0</v>
      </c>
      <c r="G219" s="203">
        <v>0</v>
      </c>
      <c r="H219" s="55"/>
      <c r="I219" s="14">
        <v>0</v>
      </c>
      <c r="J219" s="14">
        <v>48.24</v>
      </c>
      <c r="K219" s="14">
        <v>0</v>
      </c>
      <c r="L219" s="14">
        <v>0</v>
      </c>
      <c r="M219" s="14">
        <v>0</v>
      </c>
      <c r="N219" s="14">
        <v>0</v>
      </c>
      <c r="O219" s="14">
        <v>0</v>
      </c>
      <c r="P219" s="14">
        <v>0</v>
      </c>
      <c r="Q219" s="14">
        <v>0</v>
      </c>
      <c r="R219" s="14">
        <v>0</v>
      </c>
      <c r="S219" s="14">
        <v>0</v>
      </c>
      <c r="T219" s="14">
        <v>0</v>
      </c>
      <c r="U219" s="73">
        <f t="shared" si="134"/>
        <v>48.24</v>
      </c>
      <c r="W219" s="49">
        <f t="shared" si="135"/>
        <v>0</v>
      </c>
      <c r="X219" s="49">
        <f t="shared" si="136"/>
        <v>0</v>
      </c>
      <c r="Y219" s="49">
        <f t="shared" si="137"/>
        <v>0</v>
      </c>
      <c r="Z219" s="49">
        <f t="shared" si="138"/>
        <v>0</v>
      </c>
      <c r="AA219" s="49">
        <f t="shared" si="139"/>
        <v>0</v>
      </c>
      <c r="AB219" s="49">
        <f t="shared" si="140"/>
        <v>0</v>
      </c>
      <c r="AC219" s="49">
        <f t="shared" si="141"/>
        <v>0</v>
      </c>
      <c r="AD219" s="49">
        <f t="shared" si="142"/>
        <v>0</v>
      </c>
      <c r="AE219" s="49">
        <f t="shared" si="143"/>
        <v>0</v>
      </c>
      <c r="AF219" s="49">
        <f t="shared" si="144"/>
        <v>0</v>
      </c>
      <c r="AG219" s="49">
        <f t="shared" si="145"/>
        <v>0</v>
      </c>
      <c r="AH219" s="49">
        <f t="shared" si="146"/>
        <v>0</v>
      </c>
      <c r="AI219" s="47">
        <f t="shared" si="147"/>
        <v>0</v>
      </c>
      <c r="AJ219" s="134">
        <f t="shared" si="148"/>
        <v>0</v>
      </c>
    </row>
    <row r="220" spans="1:46" s="45" customFormat="1" x14ac:dyDescent="0.2">
      <c r="A220" s="45" t="str">
        <f t="shared" si="149"/>
        <v>allroll offHAULWD/YD</v>
      </c>
      <c r="B220" s="1" t="str">
        <f t="shared" si="133"/>
        <v>Washroll offHAULWD/YD</v>
      </c>
      <c r="C220" s="58" t="s">
        <v>626</v>
      </c>
      <c r="D220" s="58" t="s">
        <v>637</v>
      </c>
      <c r="E220" s="11">
        <v>240.5</v>
      </c>
      <c r="F220" s="11">
        <v>252.53</v>
      </c>
      <c r="G220" s="11">
        <v>252.53</v>
      </c>
      <c r="H220" s="55"/>
      <c r="I220" s="14">
        <v>0</v>
      </c>
      <c r="J220" s="14">
        <v>0</v>
      </c>
      <c r="K220" s="14">
        <v>0</v>
      </c>
      <c r="L220" s="14">
        <v>0</v>
      </c>
      <c r="M220" s="14">
        <v>0</v>
      </c>
      <c r="N220" s="14">
        <v>0</v>
      </c>
      <c r="O220" s="14">
        <v>0</v>
      </c>
      <c r="P220" s="14">
        <v>0</v>
      </c>
      <c r="Q220" s="14">
        <v>0</v>
      </c>
      <c r="R220" s="14">
        <v>0</v>
      </c>
      <c r="S220" s="14">
        <v>0</v>
      </c>
      <c r="T220" s="14">
        <v>0</v>
      </c>
      <c r="U220" s="73">
        <f t="shared" si="134"/>
        <v>0</v>
      </c>
      <c r="W220" s="49">
        <f t="shared" si="135"/>
        <v>0</v>
      </c>
      <c r="X220" s="49">
        <f t="shared" si="136"/>
        <v>0</v>
      </c>
      <c r="Y220" s="49">
        <f t="shared" si="137"/>
        <v>0</v>
      </c>
      <c r="Z220" s="49">
        <f t="shared" si="138"/>
        <v>0</v>
      </c>
      <c r="AA220" s="49">
        <f t="shared" si="139"/>
        <v>0</v>
      </c>
      <c r="AB220" s="49">
        <f t="shared" si="140"/>
        <v>0</v>
      </c>
      <c r="AC220" s="49">
        <f t="shared" si="141"/>
        <v>0</v>
      </c>
      <c r="AD220" s="49">
        <f t="shared" si="142"/>
        <v>0</v>
      </c>
      <c r="AE220" s="49">
        <f t="shared" si="143"/>
        <v>0</v>
      </c>
      <c r="AF220" s="49">
        <f t="shared" si="144"/>
        <v>0</v>
      </c>
      <c r="AG220" s="49">
        <f t="shared" si="145"/>
        <v>0</v>
      </c>
      <c r="AH220" s="49">
        <f t="shared" si="146"/>
        <v>0</v>
      </c>
      <c r="AI220" s="47">
        <f t="shared" si="147"/>
        <v>0</v>
      </c>
      <c r="AJ220" s="134">
        <f t="shared" si="148"/>
        <v>0</v>
      </c>
    </row>
    <row r="221" spans="1:46" s="45" customFormat="1" x14ac:dyDescent="0.2">
      <c r="C221" s="40"/>
      <c r="D221" s="40"/>
      <c r="E221" s="55"/>
      <c r="F221" s="55"/>
      <c r="G221" s="55"/>
      <c r="H221" s="55"/>
      <c r="I221" s="46"/>
      <c r="J221" s="50"/>
      <c r="K221" s="48"/>
      <c r="L221" s="49"/>
      <c r="M221" s="49"/>
      <c r="P221" s="46"/>
      <c r="AJ221" s="40"/>
    </row>
    <row r="222" spans="1:46" s="45" customFormat="1" x14ac:dyDescent="0.2">
      <c r="C222" s="40"/>
      <c r="D222" s="52" t="s">
        <v>43</v>
      </c>
      <c r="E222" s="55"/>
      <c r="F222" s="55"/>
      <c r="G222" s="55"/>
      <c r="H222" s="55"/>
      <c r="I222" s="97">
        <f t="shared" ref="I222:U222" si="150">SUM(I213:I221)</f>
        <v>2755.66</v>
      </c>
      <c r="J222" s="97">
        <f t="shared" si="150"/>
        <v>4747.62</v>
      </c>
      <c r="K222" s="97">
        <f t="shared" si="150"/>
        <v>4051.66</v>
      </c>
      <c r="L222" s="97">
        <f t="shared" si="150"/>
        <v>3535.42</v>
      </c>
      <c r="M222" s="97">
        <f t="shared" si="150"/>
        <v>5420.66</v>
      </c>
      <c r="N222" s="97">
        <f t="shared" si="150"/>
        <v>3523.39</v>
      </c>
      <c r="O222" s="97">
        <f t="shared" si="150"/>
        <v>4958.6499999999996</v>
      </c>
      <c r="P222" s="97">
        <f t="shared" si="150"/>
        <v>4747.1400000000003</v>
      </c>
      <c r="Q222" s="97">
        <f t="shared" si="150"/>
        <v>4040.4800000000005</v>
      </c>
      <c r="R222" s="97">
        <f t="shared" si="150"/>
        <v>3535.42</v>
      </c>
      <c r="S222" s="97">
        <f t="shared" si="150"/>
        <v>4288.2</v>
      </c>
      <c r="T222" s="97">
        <f t="shared" si="150"/>
        <v>6064.83</v>
      </c>
      <c r="U222" s="97">
        <f t="shared" si="150"/>
        <v>51669.130000000005</v>
      </c>
      <c r="V222" s="100"/>
      <c r="W222" s="185">
        <f>+SUM(W213:W216)</f>
        <v>11</v>
      </c>
      <c r="X222" s="185">
        <f t="shared" ref="X222:AJ222" si="151">+SUM(X213:X216)</f>
        <v>19</v>
      </c>
      <c r="Y222" s="185">
        <f t="shared" si="151"/>
        <v>16.264033264033266</v>
      </c>
      <c r="Z222" s="185">
        <f t="shared" si="151"/>
        <v>13.999999999999998</v>
      </c>
      <c r="AA222" s="185">
        <f t="shared" si="151"/>
        <v>20.999999999999996</v>
      </c>
      <c r="AB222" s="185">
        <f t="shared" si="151"/>
        <v>13.952362095592601</v>
      </c>
      <c r="AC222" s="185">
        <f t="shared" si="151"/>
        <v>18.999999999999996</v>
      </c>
      <c r="AD222" s="185">
        <f t="shared" si="151"/>
        <v>18</v>
      </c>
      <c r="AE222" s="185">
        <f t="shared" si="151"/>
        <v>16</v>
      </c>
      <c r="AF222" s="185">
        <f t="shared" si="151"/>
        <v>14</v>
      </c>
      <c r="AG222" s="185">
        <f t="shared" si="151"/>
        <v>16.980952758088147</v>
      </c>
      <c r="AH222" s="185">
        <f t="shared" si="151"/>
        <v>23.850671207381303</v>
      </c>
      <c r="AI222" s="185">
        <f t="shared" si="151"/>
        <v>16.920668277091277</v>
      </c>
      <c r="AJ222" s="185">
        <f t="shared" si="151"/>
        <v>203.04801932509531</v>
      </c>
      <c r="AN222" s="186">
        <f>SUM(AN213:AN216)</f>
        <v>0</v>
      </c>
      <c r="AP222" s="186">
        <f>SUM(AP213:AP216)</f>
        <v>0</v>
      </c>
      <c r="AR222" s="186">
        <f>SUM(AR213:AR216)</f>
        <v>16.920668277091277</v>
      </c>
      <c r="AT222" s="186">
        <f>SUM(AT213:AT216)</f>
        <v>0</v>
      </c>
    </row>
    <row r="223" spans="1:46" x14ac:dyDescent="0.2">
      <c r="C223" s="45"/>
      <c r="D223" s="45"/>
    </row>
    <row r="224" spans="1:46" x14ac:dyDescent="0.2">
      <c r="C224" s="62" t="s">
        <v>16</v>
      </c>
      <c r="D224" s="62" t="s">
        <v>16</v>
      </c>
      <c r="E224" s="55"/>
      <c r="F224" s="55"/>
      <c r="G224" s="55"/>
    </row>
    <row r="225" spans="2:35" x14ac:dyDescent="0.2">
      <c r="B225" s="1" t="str">
        <f t="shared" ref="B225:B231" si="152">"Wash"&amp;"roll off"&amp;C225</f>
        <v>Washroll offDISP</v>
      </c>
      <c r="C225" s="58" t="s">
        <v>394</v>
      </c>
      <c r="D225" s="58" t="s">
        <v>404</v>
      </c>
      <c r="E225" s="11">
        <v>94.46</v>
      </c>
      <c r="F225" s="11">
        <v>94.46</v>
      </c>
      <c r="G225" s="11">
        <v>99.43</v>
      </c>
      <c r="I225" s="14">
        <v>25994.43</v>
      </c>
      <c r="J225" s="14">
        <v>31491.02</v>
      </c>
      <c r="K225" s="14">
        <v>21010.799999999999</v>
      </c>
      <c r="L225" s="14">
        <v>15912.78</v>
      </c>
      <c r="M225" s="14">
        <v>22193.42</v>
      </c>
      <c r="N225" s="14">
        <v>17439.240000000002</v>
      </c>
      <c r="O225" s="14">
        <v>19503.12</v>
      </c>
      <c r="P225" s="14">
        <v>23606.560000000001</v>
      </c>
      <c r="Q225" s="14">
        <v>17477</v>
      </c>
      <c r="R225" s="14">
        <v>18372.32</v>
      </c>
      <c r="S225" s="14">
        <v>17048.29</v>
      </c>
      <c r="T225" s="14">
        <v>25326.83</v>
      </c>
      <c r="U225" s="73">
        <f t="shared" ref="U225:U231" si="153">SUM(I225:T225)</f>
        <v>255375.81</v>
      </c>
    </row>
    <row r="226" spans="2:35" x14ac:dyDescent="0.2">
      <c r="B226" s="1" t="str">
        <f>"Wash"&amp;"roll off"&amp;C226</f>
        <v>Washroll offDRWOOD</v>
      </c>
      <c r="C226" s="58" t="s">
        <v>1134</v>
      </c>
      <c r="D226" s="58" t="s">
        <v>1135</v>
      </c>
      <c r="E226" s="11">
        <v>36.51</v>
      </c>
      <c r="F226" s="11">
        <v>36.51</v>
      </c>
      <c r="G226" s="11">
        <v>36.51</v>
      </c>
      <c r="I226" s="14">
        <v>2268.4</v>
      </c>
      <c r="J226" s="14">
        <v>3434.4</v>
      </c>
      <c r="K226" s="14">
        <v>1944</v>
      </c>
      <c r="L226" s="14">
        <v>2332.8000000000002</v>
      </c>
      <c r="M226" s="14">
        <v>4082.4</v>
      </c>
      <c r="N226" s="14">
        <v>4314</v>
      </c>
      <c r="O226" s="14">
        <v>3628.52</v>
      </c>
      <c r="P226" s="14">
        <v>2347.31</v>
      </c>
      <c r="Q226" s="14">
        <v>3052.41</v>
      </c>
      <c r="R226" s="14">
        <v>2049</v>
      </c>
      <c r="S226" s="14">
        <v>3482.1</v>
      </c>
      <c r="T226" s="14">
        <v>3210.1</v>
      </c>
      <c r="U226" s="73">
        <f t="shared" si="153"/>
        <v>36145.440000000002</v>
      </c>
    </row>
    <row r="227" spans="2:35" x14ac:dyDescent="0.2">
      <c r="B227" s="1" t="str">
        <f>"Wash"&amp;"roll off"&amp;C227</f>
        <v>Washroll offDRDEMO</v>
      </c>
      <c r="C227" s="288" t="s">
        <v>1130</v>
      </c>
      <c r="D227" s="288" t="s">
        <v>1131</v>
      </c>
      <c r="E227" s="203">
        <v>0</v>
      </c>
      <c r="F227" s="203">
        <v>0</v>
      </c>
      <c r="G227" s="203">
        <v>0</v>
      </c>
      <c r="I227" s="14">
        <v>0</v>
      </c>
      <c r="J227" s="14">
        <v>0</v>
      </c>
      <c r="K227" s="14">
        <v>0</v>
      </c>
      <c r="L227" s="14">
        <v>0</v>
      </c>
      <c r="M227" s="14">
        <v>0</v>
      </c>
      <c r="N227" s="14">
        <v>0</v>
      </c>
      <c r="O227" s="14">
        <v>0</v>
      </c>
      <c r="P227" s="14">
        <v>0</v>
      </c>
      <c r="Q227" s="14">
        <v>752.87</v>
      </c>
      <c r="R227" s="14">
        <v>1108.54</v>
      </c>
      <c r="S227" s="14">
        <v>1296.51</v>
      </c>
      <c r="T227" s="14">
        <v>1041.18</v>
      </c>
      <c r="U227" s="73">
        <f>SUM(I227:T227)</f>
        <v>4199.1000000000004</v>
      </c>
    </row>
    <row r="228" spans="2:35" x14ac:dyDescent="0.2">
      <c r="B228" s="1" t="str">
        <f>"Wash"&amp;"roll off"&amp;C228</f>
        <v>Washroll offDRCONCRETE</v>
      </c>
      <c r="C228" s="58" t="s">
        <v>1132</v>
      </c>
      <c r="D228" s="58" t="s">
        <v>1133</v>
      </c>
      <c r="E228" s="11">
        <v>0</v>
      </c>
      <c r="F228" s="11">
        <v>0</v>
      </c>
      <c r="G228" s="11">
        <v>0</v>
      </c>
      <c r="I228" s="14">
        <v>0</v>
      </c>
      <c r="J228" s="14">
        <v>0</v>
      </c>
      <c r="K228" s="14">
        <v>0</v>
      </c>
      <c r="L228" s="14">
        <v>0</v>
      </c>
      <c r="M228" s="14">
        <v>0</v>
      </c>
      <c r="N228" s="14">
        <v>0</v>
      </c>
      <c r="O228" s="14">
        <v>52</v>
      </c>
      <c r="P228" s="14">
        <v>0</v>
      </c>
      <c r="Q228" s="14">
        <v>0</v>
      </c>
      <c r="R228" s="14">
        <v>65</v>
      </c>
      <c r="S228" s="14">
        <v>0</v>
      </c>
      <c r="T228" s="14">
        <v>0</v>
      </c>
      <c r="U228" s="73">
        <f t="shared" si="153"/>
        <v>117</v>
      </c>
    </row>
    <row r="229" spans="2:35" x14ac:dyDescent="0.2">
      <c r="B229" s="1" t="str">
        <f>"Wash"&amp;"roll off"&amp;C229</f>
        <v>Washroll offYDDISP</v>
      </c>
      <c r="C229" s="58" t="s">
        <v>1136</v>
      </c>
      <c r="D229" s="58" t="s">
        <v>1137</v>
      </c>
      <c r="E229" s="11">
        <v>32.340000000000003</v>
      </c>
      <c r="F229" s="11">
        <v>32.340000000000003</v>
      </c>
      <c r="G229" s="11">
        <v>32.340000000000003</v>
      </c>
      <c r="I229" s="14">
        <v>0</v>
      </c>
      <c r="J229" s="14">
        <v>0</v>
      </c>
      <c r="K229" s="14">
        <v>0</v>
      </c>
      <c r="L229" s="14">
        <v>1007.2</v>
      </c>
      <c r="M229" s="14">
        <v>-438.2</v>
      </c>
      <c r="N229" s="14">
        <v>26.84</v>
      </c>
      <c r="O229" s="14">
        <v>0</v>
      </c>
      <c r="P229" s="14">
        <v>0</v>
      </c>
      <c r="Q229" s="14">
        <v>0</v>
      </c>
      <c r="R229" s="14">
        <v>0</v>
      </c>
      <c r="S229" s="14">
        <v>0</v>
      </c>
      <c r="T229" s="14">
        <v>530.6</v>
      </c>
      <c r="U229" s="73">
        <f t="shared" si="153"/>
        <v>1126.44</v>
      </c>
    </row>
    <row r="230" spans="2:35" x14ac:dyDescent="0.2">
      <c r="B230" s="1" t="str">
        <f t="shared" si="152"/>
        <v>Washroll offFEE</v>
      </c>
      <c r="C230" s="58" t="s">
        <v>395</v>
      </c>
      <c r="D230" s="58" t="s">
        <v>405</v>
      </c>
      <c r="E230" s="11">
        <v>10</v>
      </c>
      <c r="F230" s="11">
        <v>10</v>
      </c>
      <c r="G230" s="11">
        <v>10</v>
      </c>
      <c r="I230" s="14">
        <v>810</v>
      </c>
      <c r="J230" s="14">
        <v>1160</v>
      </c>
      <c r="K230" s="14">
        <v>1020</v>
      </c>
      <c r="L230" s="14">
        <v>830</v>
      </c>
      <c r="M230" s="14">
        <v>860</v>
      </c>
      <c r="N230" s="14">
        <v>580</v>
      </c>
      <c r="O230" s="14">
        <v>810</v>
      </c>
      <c r="P230" s="14">
        <v>760</v>
      </c>
      <c r="Q230" s="14">
        <v>620</v>
      </c>
      <c r="R230" s="14">
        <v>680</v>
      </c>
      <c r="S230" s="14">
        <v>670</v>
      </c>
      <c r="T230" s="14">
        <v>790</v>
      </c>
      <c r="U230" s="73">
        <f t="shared" si="153"/>
        <v>9590</v>
      </c>
    </row>
    <row r="231" spans="2:35" x14ac:dyDescent="0.2">
      <c r="B231" s="1" t="str">
        <f t="shared" si="152"/>
        <v>Washroll offPTON</v>
      </c>
      <c r="C231" s="58" t="s">
        <v>640</v>
      </c>
      <c r="D231" s="58" t="s">
        <v>641</v>
      </c>
      <c r="E231" s="11">
        <v>0</v>
      </c>
      <c r="F231" s="11">
        <v>0</v>
      </c>
      <c r="G231" s="11">
        <v>0</v>
      </c>
      <c r="I231" s="14">
        <v>0</v>
      </c>
      <c r="J231" s="14">
        <v>0</v>
      </c>
      <c r="K231" s="14">
        <v>293.08</v>
      </c>
      <c r="L231" s="14">
        <v>0</v>
      </c>
      <c r="M231" s="14">
        <v>0</v>
      </c>
      <c r="N231" s="14">
        <v>90</v>
      </c>
      <c r="O231" s="14">
        <v>0</v>
      </c>
      <c r="P231" s="14">
        <v>0</v>
      </c>
      <c r="Q231" s="14">
        <v>0</v>
      </c>
      <c r="R231" s="14">
        <v>0</v>
      </c>
      <c r="S231" s="14">
        <v>0</v>
      </c>
      <c r="T231" s="14">
        <v>57.61</v>
      </c>
      <c r="U231" s="73">
        <f t="shared" si="153"/>
        <v>440.69</v>
      </c>
    </row>
    <row r="232" spans="2:35" x14ac:dyDescent="0.2">
      <c r="U232" s="81"/>
    </row>
    <row r="233" spans="2:35" x14ac:dyDescent="0.2">
      <c r="C233" s="45"/>
      <c r="D233" s="52" t="s">
        <v>17</v>
      </c>
      <c r="I233" s="97">
        <f t="shared" ref="I233:U233" si="154">SUM(I225:I232)</f>
        <v>29072.83</v>
      </c>
      <c r="J233" s="97">
        <f t="shared" si="154"/>
        <v>36085.42</v>
      </c>
      <c r="K233" s="97">
        <f t="shared" si="154"/>
        <v>24267.88</v>
      </c>
      <c r="L233" s="97">
        <f t="shared" si="154"/>
        <v>20082.780000000002</v>
      </c>
      <c r="M233" s="97">
        <f t="shared" si="154"/>
        <v>26697.62</v>
      </c>
      <c r="N233" s="97">
        <f t="shared" si="154"/>
        <v>22450.080000000002</v>
      </c>
      <c r="O233" s="97">
        <f t="shared" si="154"/>
        <v>23993.64</v>
      </c>
      <c r="P233" s="97">
        <f t="shared" si="154"/>
        <v>26713.870000000003</v>
      </c>
      <c r="Q233" s="97">
        <f t="shared" si="154"/>
        <v>21902.28</v>
      </c>
      <c r="R233" s="97">
        <f t="shared" si="154"/>
        <v>22274.86</v>
      </c>
      <c r="S233" s="97">
        <f t="shared" si="154"/>
        <v>22496.899999999998</v>
      </c>
      <c r="T233" s="97">
        <f t="shared" si="154"/>
        <v>30956.32</v>
      </c>
      <c r="U233" s="97">
        <f t="shared" si="154"/>
        <v>306994.48</v>
      </c>
      <c r="V233" s="100"/>
    </row>
    <row r="234" spans="2:35" x14ac:dyDescent="0.2">
      <c r="C234" s="45"/>
      <c r="D234" s="52"/>
      <c r="I234" s="98"/>
      <c r="J234" s="79"/>
      <c r="K234" s="79"/>
      <c r="L234" s="79"/>
      <c r="M234" s="79"/>
      <c r="N234" s="79"/>
      <c r="O234" s="79"/>
      <c r="P234" s="79"/>
      <c r="Q234" s="79"/>
      <c r="R234" s="79"/>
      <c r="S234" s="79"/>
      <c r="T234" s="79"/>
      <c r="U234" s="79"/>
    </row>
    <row r="235" spans="2:35" s="45" customFormat="1" x14ac:dyDescent="0.2">
      <c r="C235" s="71" t="s">
        <v>18</v>
      </c>
      <c r="D235" s="71" t="s">
        <v>18</v>
      </c>
      <c r="E235" s="55"/>
      <c r="F235" s="55"/>
      <c r="G235" s="55"/>
      <c r="H235" s="55"/>
      <c r="I235" s="46"/>
      <c r="J235" s="49" t="str">
        <f>IF(H235="","",(#REF!/H235)+(#REF!/#REF!))</f>
        <v/>
      </c>
      <c r="K235" s="49" t="str">
        <f>IF(H235="","",J235/12)</f>
        <v/>
      </c>
      <c r="U235" s="73"/>
      <c r="W235" s="48"/>
      <c r="X235" s="48"/>
      <c r="Y235" s="48"/>
      <c r="Z235" s="48"/>
      <c r="AA235" s="48"/>
      <c r="AB235" s="48"/>
      <c r="AC235" s="48"/>
      <c r="AD235" s="48"/>
      <c r="AE235" s="48"/>
      <c r="AF235" s="48"/>
      <c r="AG235" s="48"/>
      <c r="AH235" s="48"/>
      <c r="AI235" s="40"/>
    </row>
    <row r="236" spans="2:35" s="45" customFormat="1" x14ac:dyDescent="0.2">
      <c r="B236" s="1" t="str">
        <f>"Wash"&amp;"Accounting"&amp;C236</f>
        <v>WashAccountingFINCHG</v>
      </c>
      <c r="C236" s="58" t="s">
        <v>19</v>
      </c>
      <c r="D236" s="58" t="s">
        <v>20</v>
      </c>
      <c r="E236" s="55">
        <v>0</v>
      </c>
      <c r="F236" s="55">
        <v>0</v>
      </c>
      <c r="G236" s="55">
        <v>0</v>
      </c>
      <c r="H236" s="55"/>
      <c r="I236" s="14">
        <v>0</v>
      </c>
      <c r="J236" s="14">
        <v>2.11</v>
      </c>
      <c r="K236" s="14">
        <v>0</v>
      </c>
      <c r="L236" s="14">
        <v>0</v>
      </c>
      <c r="M236" s="14">
        <v>0</v>
      </c>
      <c r="N236" s="14">
        <v>0</v>
      </c>
      <c r="O236" s="14">
        <v>0</v>
      </c>
      <c r="P236" s="14">
        <v>0</v>
      </c>
      <c r="Q236" s="14">
        <v>0</v>
      </c>
      <c r="R236" s="14">
        <v>0</v>
      </c>
      <c r="S236" s="14">
        <v>0</v>
      </c>
      <c r="T236" s="14">
        <v>0</v>
      </c>
      <c r="U236" s="73">
        <f>SUM(I236:T236)</f>
        <v>2.11</v>
      </c>
      <c r="W236" s="48"/>
      <c r="X236" s="48"/>
      <c r="Y236" s="48"/>
      <c r="Z236" s="48"/>
      <c r="AA236" s="48"/>
      <c r="AB236" s="48"/>
      <c r="AC236" s="48"/>
      <c r="AD236" s="48"/>
      <c r="AE236" s="48"/>
      <c r="AF236" s="48"/>
      <c r="AG236" s="48"/>
      <c r="AH236" s="48"/>
      <c r="AI236" s="40"/>
    </row>
    <row r="237" spans="2:35" s="45" customFormat="1" x14ac:dyDescent="0.2">
      <c r="C237" s="58"/>
      <c r="D237" s="58"/>
      <c r="E237" s="55"/>
      <c r="F237" s="55"/>
      <c r="G237" s="55"/>
      <c r="H237" s="55"/>
      <c r="I237" s="46"/>
      <c r="J237" s="49"/>
      <c r="K237" s="49"/>
      <c r="U237" s="73"/>
      <c r="W237" s="48"/>
      <c r="X237" s="48"/>
      <c r="Y237" s="48"/>
      <c r="Z237" s="48"/>
      <c r="AA237" s="48"/>
      <c r="AB237" s="48"/>
      <c r="AC237" s="48"/>
      <c r="AD237" s="48"/>
      <c r="AE237" s="48"/>
      <c r="AF237" s="48"/>
      <c r="AG237" s="48"/>
      <c r="AH237" s="48"/>
      <c r="AI237" s="40"/>
    </row>
    <row r="238" spans="2:35" s="45" customFormat="1" x14ac:dyDescent="0.2">
      <c r="D238" s="52" t="s">
        <v>24</v>
      </c>
      <c r="E238" s="55"/>
      <c r="F238" s="55"/>
      <c r="G238" s="55"/>
      <c r="H238" s="55"/>
      <c r="I238" s="97">
        <f>SUM(I236)</f>
        <v>0</v>
      </c>
      <c r="J238" s="97">
        <f t="shared" ref="J238:U238" si="155">SUM(J236)</f>
        <v>2.11</v>
      </c>
      <c r="K238" s="97">
        <f t="shared" si="155"/>
        <v>0</v>
      </c>
      <c r="L238" s="97">
        <f t="shared" si="155"/>
        <v>0</v>
      </c>
      <c r="M238" s="97">
        <f t="shared" si="155"/>
        <v>0</v>
      </c>
      <c r="N238" s="97">
        <f t="shared" si="155"/>
        <v>0</v>
      </c>
      <c r="O238" s="97">
        <f t="shared" si="155"/>
        <v>0</v>
      </c>
      <c r="P238" s="97">
        <f t="shared" si="155"/>
        <v>0</v>
      </c>
      <c r="Q238" s="97">
        <f t="shared" si="155"/>
        <v>0</v>
      </c>
      <c r="R238" s="97">
        <f t="shared" si="155"/>
        <v>0</v>
      </c>
      <c r="S238" s="97">
        <f t="shared" si="155"/>
        <v>0</v>
      </c>
      <c r="T238" s="97">
        <f t="shared" si="155"/>
        <v>0</v>
      </c>
      <c r="U238" s="97">
        <f t="shared" si="155"/>
        <v>2.11</v>
      </c>
      <c r="V238" s="100"/>
      <c r="W238" s="48"/>
      <c r="X238" s="48"/>
      <c r="Y238" s="48"/>
      <c r="Z238" s="48"/>
      <c r="AA238" s="48"/>
      <c r="AB238" s="48"/>
      <c r="AC238" s="48"/>
      <c r="AD238" s="48"/>
      <c r="AE238" s="48"/>
      <c r="AF238" s="48"/>
      <c r="AG238" s="48"/>
      <c r="AH238" s="48"/>
      <c r="AI238" s="40"/>
    </row>
    <row r="239" spans="2:35" x14ac:dyDescent="0.2">
      <c r="C239" s="45"/>
      <c r="D239" s="52"/>
    </row>
    <row r="240" spans="2:35" x14ac:dyDescent="0.2">
      <c r="C240" s="62"/>
      <c r="D240" s="52" t="s">
        <v>25</v>
      </c>
      <c r="I240" s="97">
        <f t="shared" ref="I240:U240" si="156">SUM(I45,I61,I68,I80,I140,I190,I210,I222,I233,I238)</f>
        <v>359448.07000000007</v>
      </c>
      <c r="J240" s="74">
        <f t="shared" si="156"/>
        <v>388175.76500000001</v>
      </c>
      <c r="K240" s="74">
        <f t="shared" si="156"/>
        <v>367983.10000000003</v>
      </c>
      <c r="L240" s="74">
        <f t="shared" si="156"/>
        <v>359961.21500000008</v>
      </c>
      <c r="M240" s="74">
        <f t="shared" si="156"/>
        <v>366846.42499999999</v>
      </c>
      <c r="N240" s="74">
        <f t="shared" si="156"/>
        <v>347059.15000000008</v>
      </c>
      <c r="O240" s="74">
        <f t="shared" si="156"/>
        <v>360055.58000000007</v>
      </c>
      <c r="P240" s="74">
        <f t="shared" si="156"/>
        <v>362850.74500000011</v>
      </c>
      <c r="Q240" s="74">
        <f t="shared" si="156"/>
        <v>349498.8550000001</v>
      </c>
      <c r="R240" s="74">
        <f t="shared" si="156"/>
        <v>345876.19000000006</v>
      </c>
      <c r="S240" s="74">
        <f t="shared" si="156"/>
        <v>346346.03</v>
      </c>
      <c r="T240" s="74">
        <f t="shared" si="156"/>
        <v>393110.58000000007</v>
      </c>
      <c r="U240" s="74">
        <f t="shared" si="156"/>
        <v>4347211.705000001</v>
      </c>
      <c r="V240" s="100"/>
    </row>
    <row r="241" spans="3:48" x14ac:dyDescent="0.2">
      <c r="C241" s="62"/>
      <c r="D241" s="62"/>
      <c r="E241" s="40" t="s">
        <v>1116</v>
      </c>
      <c r="F241" s="40" t="s">
        <v>1116</v>
      </c>
      <c r="G241" s="40" t="s">
        <v>1116</v>
      </c>
      <c r="I241" s="81">
        <v>0</v>
      </c>
      <c r="J241" s="81">
        <v>0</v>
      </c>
      <c r="K241" s="81">
        <v>0</v>
      </c>
      <c r="L241" s="81">
        <v>0</v>
      </c>
      <c r="M241" s="81">
        <v>0</v>
      </c>
      <c r="N241" s="81">
        <v>0</v>
      </c>
      <c r="O241" s="81">
        <v>0</v>
      </c>
      <c r="P241" s="81">
        <v>0</v>
      </c>
      <c r="Q241" s="81">
        <v>0</v>
      </c>
      <c r="R241" s="81">
        <v>0</v>
      </c>
      <c r="S241" s="81">
        <v>0</v>
      </c>
      <c r="T241" s="81">
        <v>0</v>
      </c>
      <c r="U241" s="81">
        <v>0</v>
      </c>
    </row>
    <row r="242" spans="3:48" x14ac:dyDescent="0.2">
      <c r="E242" s="40" t="s">
        <v>1104</v>
      </c>
      <c r="F242" s="40" t="s">
        <v>1104</v>
      </c>
      <c r="G242" s="40" t="s">
        <v>1104</v>
      </c>
      <c r="I242" s="143">
        <v>359448.06999999989</v>
      </c>
      <c r="J242" s="143">
        <v>388175.76499999978</v>
      </c>
      <c r="K242" s="143">
        <v>367983.09999999969</v>
      </c>
      <c r="L242" s="143">
        <v>359961.21499999991</v>
      </c>
      <c r="M242" s="143">
        <v>366846.42499999993</v>
      </c>
      <c r="N242" s="143">
        <v>347059.15000000008</v>
      </c>
      <c r="O242" s="143">
        <v>360055.58000000013</v>
      </c>
      <c r="P242" s="143">
        <v>362850.74499999976</v>
      </c>
      <c r="Q242" s="143">
        <v>349498.85499999986</v>
      </c>
      <c r="R242" s="143">
        <v>345881.01000000007</v>
      </c>
      <c r="S242" s="143">
        <v>346341.20999999996</v>
      </c>
      <c r="T242" s="143">
        <v>393110.5799999999</v>
      </c>
      <c r="U242" s="100">
        <f>SUM(I242:T242)</f>
        <v>4347211.7049999991</v>
      </c>
      <c r="AI242" s="47">
        <f>AI45+AI61+AI68+AI80+AI140+AI190+AI210+AI222</f>
        <v>14722.783028396636</v>
      </c>
      <c r="AJ242" s="40" t="s">
        <v>1175</v>
      </c>
      <c r="AN242" s="186">
        <f>+AN222+AN210+AN190+AN140+AN80+AN68+AN61+AN45</f>
        <v>14439.207247443486</v>
      </c>
      <c r="AO242" s="45"/>
      <c r="AP242" s="186">
        <f>+AP222+AP210+AP190+AP140+AP80+AP68+AP61+AP45</f>
        <v>217.75926981056386</v>
      </c>
      <c r="AQ242" s="45"/>
      <c r="AR242" s="186">
        <f>+AR222+AR210+AR190+AR140+AR80+AR68+AR61+AR45</f>
        <v>50.301801794590418</v>
      </c>
      <c r="AS242" s="45"/>
      <c r="AT242" s="186">
        <f>+AT222+AT210+AT190+AT140+AT80+AT68+AT61+AT45</f>
        <v>0.87499999999999989</v>
      </c>
      <c r="AV242" s="230">
        <f>+AN242+AP242+AR242+AT242</f>
        <v>14708.14331904864</v>
      </c>
    </row>
    <row r="243" spans="3:48" x14ac:dyDescent="0.2">
      <c r="I243" s="81">
        <f>+I242+I241-I240</f>
        <v>0</v>
      </c>
      <c r="J243" s="81">
        <f t="shared" ref="J243:S243" si="157">+J242+J241-J240</f>
        <v>0</v>
      </c>
      <c r="K243" s="81">
        <f t="shared" si="157"/>
        <v>0</v>
      </c>
      <c r="L243" s="110">
        <f t="shared" si="157"/>
        <v>0</v>
      </c>
      <c r="M243" s="110">
        <f>+M242+M241-M240</f>
        <v>0</v>
      </c>
      <c r="N243" s="110">
        <f t="shared" si="157"/>
        <v>0</v>
      </c>
      <c r="O243" s="110">
        <f t="shared" si="157"/>
        <v>0</v>
      </c>
      <c r="P243" s="110">
        <f t="shared" si="157"/>
        <v>0</v>
      </c>
      <c r="Q243" s="110">
        <f t="shared" si="157"/>
        <v>0</v>
      </c>
      <c r="R243" s="110">
        <f t="shared" si="157"/>
        <v>4.8200000000069849</v>
      </c>
      <c r="S243" s="110">
        <f t="shared" si="157"/>
        <v>-4.8200000000651926</v>
      </c>
      <c r="T243" s="110">
        <f>+T242+T241-T240</f>
        <v>0</v>
      </c>
      <c r="U243" s="100">
        <f>SUM(I243:T243)</f>
        <v>-5.8207660913467407E-11</v>
      </c>
      <c r="AI243" s="40" t="s">
        <v>1353</v>
      </c>
      <c r="AJ243" s="236">
        <f>+AJ140+AJ45</f>
        <v>75848.52338926353</v>
      </c>
    </row>
  </sheetData>
  <mergeCells count="4">
    <mergeCell ref="AM4:AN4"/>
    <mergeCell ref="AO4:AP4"/>
    <mergeCell ref="AQ4:AR4"/>
    <mergeCell ref="AS4:AT4"/>
  </mergeCells>
  <conditionalFormatting sqref="AK3:AK222">
    <cfRule type="cellIs" dxfId="1" priority="1" operator="greaterThan">
      <formula>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E8EB60AD8653749944E587B2D8E11C5" ma:contentTypeVersion="7" ma:contentTypeDescription="" ma:contentTypeScope="" ma:versionID="d526ad5938e1697c34ffdfa1dc2afae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Pending</CaseStatus>
    <OpenedDate xmlns="dc463f71-b30c-4ab2-9473-d307f9d35888">2024-06-14T07:00:00+00:00</OpenedDate>
    <SignificantOrder xmlns="dc463f71-b30c-4ab2-9473-d307f9d35888">false</SignificantOrder>
    <Date1 xmlns="dc463f71-b30c-4ab2-9473-d307f9d35888">2024-06-14T07:00:00+00:00</Date1>
    <IsDocumentOrder xmlns="dc463f71-b30c-4ab2-9473-d307f9d35888">false</IsDocumentOrder>
    <IsHighlyConfidential xmlns="dc463f71-b30c-4ab2-9473-d307f9d35888">false</IsHighlyConfidential>
    <CaseCompanyNames xmlns="dc463f71-b30c-4ab2-9473-d307f9d35888">Waste Connections of Washington, Inc.</CaseCompanyNames>
    <Nickname xmlns="http://schemas.microsoft.com/sharepoint/v3" xsi:nil="true"/>
    <DocketNumber xmlns="dc463f71-b30c-4ab2-9473-d307f9d35888">240494</DocketNumber>
    <DelegatedOrder xmlns="dc463f71-b30c-4ab2-9473-d307f9d35888">false</DelegatedOrder>
  </documentManagement>
</p:properties>
</file>

<file path=customXml/itemProps1.xml><?xml version="1.0" encoding="utf-8"?>
<ds:datastoreItem xmlns:ds="http://schemas.openxmlformats.org/officeDocument/2006/customXml" ds:itemID="{049138D1-205F-4E8B-8C5B-195A454F71D3}"/>
</file>

<file path=customXml/itemProps2.xml><?xml version="1.0" encoding="utf-8"?>
<ds:datastoreItem xmlns:ds="http://schemas.openxmlformats.org/officeDocument/2006/customXml" ds:itemID="{39E0F7B0-DAF0-4F08-BB49-4DC1D15217E6}"/>
</file>

<file path=customXml/itemProps3.xml><?xml version="1.0" encoding="utf-8"?>
<ds:datastoreItem xmlns:ds="http://schemas.openxmlformats.org/officeDocument/2006/customXml" ds:itemID="{B3D7C8D0-44D2-4003-9A0A-3B4E20D0AAEA}"/>
</file>

<file path=customXml/itemProps4.xml><?xml version="1.0" encoding="utf-8"?>
<ds:datastoreItem xmlns:ds="http://schemas.openxmlformats.org/officeDocument/2006/customXml" ds:itemID="{CA70D1DC-9E51-44BF-A12E-BD8B3F70AA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Revenue Summary</vt:lpstr>
      <vt:lpstr>Customer Summary</vt:lpstr>
      <vt:lpstr>Non-Reg Container Counts</vt:lpstr>
      <vt:lpstr>Clark Co. Regulated - Price Out</vt:lpstr>
      <vt:lpstr>UTC Non-Reg Svc - Price Out </vt:lpstr>
      <vt:lpstr>Camas Non-Reg - Price Out</vt:lpstr>
      <vt:lpstr>Ridgefield Non-Reg - Price Out </vt:lpstr>
      <vt:lpstr>Vancouver Non-Reg - Price Out</vt:lpstr>
      <vt:lpstr>Washougal Non-Reg - Price Out</vt:lpstr>
      <vt:lpstr>West Van Non-Reg - Price Out</vt:lpstr>
      <vt:lpstr>Shred Non-Reg - Price Out</vt:lpstr>
      <vt:lpstr>'Camas Non-Reg - Price Out'!Print_Area</vt:lpstr>
      <vt:lpstr>'Clark Co. Regulated - Price Out'!Print_Area</vt:lpstr>
      <vt:lpstr>'Non-Reg Container Counts'!Print_Area</vt:lpstr>
      <vt:lpstr>'Revenue Summary'!Print_Area</vt:lpstr>
      <vt:lpstr>'Ridgefield Non-Reg - Price Out '!Print_Area</vt:lpstr>
      <vt:lpstr>'UTC Non-Reg Svc - Price Out '!Print_Area</vt:lpstr>
      <vt:lpstr>'Vancouver Non-Reg - Price Out'!Print_Area</vt:lpstr>
      <vt:lpstr>'Washougal Non-Reg - Price Out'!Print_Area</vt:lpstr>
      <vt:lpstr>'West Van Non-Reg - Price Out'!Print_Area</vt:lpstr>
      <vt:lpstr>'Camas Non-Reg - Price Out'!Print_Titles</vt:lpstr>
      <vt:lpstr>'Clark Co. Regulated - Price Out'!Print_Titles</vt:lpstr>
      <vt:lpstr>'Ridgefield Non-Reg - Price Out '!Print_Titles</vt:lpstr>
      <vt:lpstr>'UTC Non-Reg Svc - Price Out '!Print_Titles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Brian Vandenburg</cp:lastModifiedBy>
  <cp:lastPrinted>2024-06-14T17:32:16Z</cp:lastPrinted>
  <dcterms:created xsi:type="dcterms:W3CDTF">2012-11-20T22:40:11Z</dcterms:created>
  <dcterms:modified xsi:type="dcterms:W3CDTF">2024-06-14T18:34:03Z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0x0101006E56B4D1795A2E4DB2F0B01679ED314A00DE8EB60AD8653749944E587B2D8E11C5</vt:lpwstr>
  </property>
</Properties>
</file>