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3.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harts/colors2.xml" ContentType="application/vnd.ms-office.chartcolorstyle+xml"/>
  <Override PartName="/xl/charts/style2.xml" ContentType="application/vnd.ms-office.chartstyle+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hartsheets/sheet1.xml" ContentType="application/vnd.openxmlformats-officedocument.spreadsheetml.chartsheet+xml"/>
  <Override PartName="/xl/drawings/drawing1.xml" ContentType="application/vnd.openxmlformats-officedocument.drawing+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tables/table1.xml" ContentType="application/vnd.openxmlformats-officedocument.spreadsheetml.table+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1.xml" ContentType="application/vnd.openxmlformats-officedocument.spreadsheetml.comments+xml"/>
  <Override PartName="/xl/threadedComments/threadedComment1.xml" ContentType="application/vnd.ms-excel.threadedcomment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persons/person.xml" ContentType="application/vnd.ms-excel.person+xml"/>
  <Override PartName="/xl/metadata.xml" ContentType="application/vnd.openxmlformats-officedocument.spreadsheetml.sheetMetadata+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autoCompressPictures="0"/>
  <mc:AlternateContent xmlns:mc="http://schemas.openxmlformats.org/markup-compatibility/2006">
    <mc:Choice Requires="x15">
      <x15ac:absPath xmlns:x15ac="http://schemas.microsoft.com/office/spreadsheetml/2010/11/ac" url="C:\Users\steea\AppData\Local\Temp\Workshare\dom4zay1.cau\5\"/>
    </mc:Choice>
  </mc:AlternateContent>
  <xr:revisionPtr revIDLastSave="0" documentId="13_ncr:1_{144E3B57-46F4-402B-BB5E-082132EA9D56}" xr6:coauthVersionLast="47" xr6:coauthVersionMax="47" xr10:uidLastSave="{00000000-0000-0000-0000-000000000000}"/>
  <bookViews>
    <workbookView xWindow="1140" yWindow="1140" windowWidth="14400" windowHeight="8260" xr2:uid="{00000000-000D-0000-FFFF-FFFF00000000}"/>
  </bookViews>
  <sheets>
    <sheet name="REDACTED" sheetId="64" r:id="rId1"/>
    <sheet name="Chart1" sheetId="60" r:id="rId2"/>
    <sheet name="Green H2 for 2023 IRP" sheetId="54" r:id="rId3"/>
    <sheet name="Costs for IRP Book" sheetId="63" r:id="rId4"/>
    <sheet name="EastWest Cascades Med" sheetId="62" r:id="rId5"/>
    <sheet name="deflator data" sheetId="57" r:id="rId6"/>
    <sheet name="E3 Workbook=&gt;" sheetId="61" r:id="rId7"/>
    <sheet name="Cover" sheetId="42" r:id="rId8"/>
    <sheet name="Pathways" sheetId="48" r:id="rId9"/>
    <sheet name="PNW_solar_cost_data" sheetId="51" r:id="rId10"/>
    <sheet name="Cost and Efficiency Data (R)" sheetId="18" r:id="rId11"/>
    <sheet name="Fischer Tropsch Data" sheetId="44" r:id="rId12"/>
    <sheet name="DAC data" sheetId="43" r:id="rId13"/>
    <sheet name="BNEF H2 and Syngas Cost" sheetId="53" r:id="rId14"/>
    <sheet name="References" sheetId="1" r:id="rId15"/>
    <sheet name="Dropdowns" sheetId="47" r:id="rId16"/>
    <sheet name="Conversion Constants" sheetId="49" r:id="rId17"/>
  </sheets>
  <externalReferences>
    <externalReference r:id="rId18"/>
  </externalReferences>
  <definedNames>
    <definedName name="_xlnm._FilterDatabase" localSheetId="8" hidden="1">Pathways!#REF!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WhperGJ">'[1]DAC Cost and Energy Requirement'!$D$2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0" i="54" l="1"/>
  <c r="B91" i="54"/>
  <c r="Y75" i="54"/>
  <c r="H10" i="62" l="1"/>
  <c r="H11" i="62"/>
  <c r="H12" i="62"/>
  <c r="H13" i="62"/>
  <c r="H14" i="62"/>
  <c r="H15" i="62"/>
  <c r="H16" i="62"/>
  <c r="H17" i="62"/>
  <c r="H18" i="62"/>
  <c r="H19" i="62"/>
  <c r="H20" i="62"/>
  <c r="H21" i="62"/>
  <c r="H22" i="62"/>
  <c r="H23" i="62"/>
  <c r="H24" i="62"/>
  <c r="H25" i="62"/>
  <c r="H26" i="62"/>
  <c r="H27" i="62"/>
  <c r="H28" i="62"/>
  <c r="H29" i="62"/>
  <c r="H30" i="62"/>
  <c r="H31" i="62"/>
  <c r="H32" i="62"/>
  <c r="H33" i="62"/>
  <c r="H34" i="62"/>
  <c r="H35" i="62"/>
  <c r="H36" i="62"/>
  <c r="H37" i="62"/>
  <c r="H8" i="62"/>
  <c r="H9" i="62"/>
  <c r="H7" i="62"/>
  <c r="F5" i="62" l="1"/>
  <c r="E5" i="62"/>
  <c r="B69" i="54" l="1"/>
  <c r="B32" i="54" l="1"/>
  <c r="C55" i="54" l="1"/>
  <c r="D14" i="54"/>
  <c r="E14" i="54"/>
  <c r="F14" i="54"/>
  <c r="G14" i="54"/>
  <c r="H14" i="54"/>
  <c r="I14" i="54"/>
  <c r="D15" i="54"/>
  <c r="E15" i="54"/>
  <c r="F15" i="54"/>
  <c r="G15" i="54"/>
  <c r="H15" i="54"/>
  <c r="I15" i="54"/>
  <c r="D16" i="54"/>
  <c r="E16" i="54"/>
  <c r="F16" i="54"/>
  <c r="G16" i="54"/>
  <c r="H16" i="54"/>
  <c r="I16" i="54"/>
  <c r="D17" i="54"/>
  <c r="E17" i="54"/>
  <c r="F17" i="54"/>
  <c r="G17" i="54"/>
  <c r="H17" i="54"/>
  <c r="I17" i="54"/>
  <c r="D18" i="54"/>
  <c r="E18" i="54"/>
  <c r="F18" i="54"/>
  <c r="G18" i="54"/>
  <c r="H18" i="54"/>
  <c r="I18" i="54"/>
  <c r="D19" i="54"/>
  <c r="E19" i="54"/>
  <c r="F19" i="54"/>
  <c r="G19" i="54"/>
  <c r="H19" i="54"/>
  <c r="I19" i="54"/>
  <c r="D20" i="54"/>
  <c r="E20" i="54"/>
  <c r="F20" i="54"/>
  <c r="G20" i="54"/>
  <c r="H20" i="54"/>
  <c r="I20" i="54"/>
  <c r="D21" i="54"/>
  <c r="E21" i="54"/>
  <c r="F21" i="54"/>
  <c r="G21" i="54"/>
  <c r="H21" i="54"/>
  <c r="I21" i="54"/>
  <c r="C15" i="54"/>
  <c r="C16" i="54"/>
  <c r="C17" i="54"/>
  <c r="C18" i="54"/>
  <c r="C19" i="54"/>
  <c r="C20" i="54"/>
  <c r="C21" i="54"/>
  <c r="C14" i="54"/>
  <c r="C25" i="54" s="1"/>
  <c r="C47" i="54"/>
  <c r="C49" i="54" s="1"/>
  <c r="C52" i="54" s="1"/>
  <c r="C59" i="54" s="1"/>
  <c r="C24" i="54" l="1"/>
  <c r="D25" i="54"/>
  <c r="D31" i="54" s="1"/>
  <c r="H25" i="54"/>
  <c r="F24" i="54"/>
  <c r="F25" i="54"/>
  <c r="G24" i="54"/>
  <c r="D24" i="54"/>
  <c r="D30" i="54" s="1"/>
  <c r="H24" i="54"/>
  <c r="G25" i="54"/>
  <c r="E24" i="54"/>
  <c r="E25" i="54"/>
  <c r="I24" i="54"/>
  <c r="I25" i="54"/>
  <c r="D59" i="54"/>
  <c r="D26" i="54" l="1"/>
  <c r="C26" i="54"/>
  <c r="F26" i="54"/>
  <c r="G26" i="54"/>
  <c r="I26" i="54"/>
  <c r="E26" i="54"/>
  <c r="H26" i="54"/>
  <c r="E59" i="54"/>
  <c r="F59" i="54" l="1"/>
  <c r="G59" i="54" l="1"/>
  <c r="H59" i="54" l="1"/>
  <c r="I59" i="54" l="1"/>
  <c r="J59" i="54" l="1"/>
  <c r="K59" i="54" s="1"/>
  <c r="L59" i="54" l="1"/>
  <c r="C60" i="54" s="1"/>
  <c r="C38" i="54" l="1"/>
  <c r="C54" i="54"/>
  <c r="C56" i="54" s="1"/>
  <c r="M59" i="54"/>
  <c r="D60" i="54" l="1"/>
  <c r="D38" i="54" s="1"/>
  <c r="N59" i="54"/>
  <c r="E60" i="54" l="1"/>
  <c r="E38" i="54" s="1"/>
  <c r="O59" i="54"/>
  <c r="F60" i="54" l="1"/>
  <c r="F38" i="54" s="1"/>
  <c r="P59" i="54"/>
  <c r="G60" i="54" l="1"/>
  <c r="G38" i="54" s="1"/>
  <c r="Q59" i="54"/>
  <c r="H60" i="54" l="1"/>
  <c r="H38" i="54" s="1"/>
  <c r="R59" i="54"/>
  <c r="I60" i="54" l="1"/>
  <c r="I38" i="54" s="1"/>
  <c r="S59" i="54"/>
  <c r="J60" i="54" l="1"/>
  <c r="J38" i="54" s="1"/>
  <c r="T59" i="54"/>
  <c r="K60" i="54" l="1"/>
  <c r="K38" i="54" s="1"/>
  <c r="U59" i="54"/>
  <c r="L60" i="54" l="1"/>
  <c r="L38" i="54" s="1"/>
  <c r="V59" i="54"/>
  <c r="M60" i="54" l="1"/>
  <c r="M38" i="54" s="1"/>
  <c r="W59" i="54"/>
  <c r="N60" i="54" l="1"/>
  <c r="N38" i="54" s="1"/>
  <c r="X59" i="54"/>
  <c r="O60" i="54" l="1"/>
  <c r="O38" i="54" s="1"/>
  <c r="Y59" i="54"/>
  <c r="P60" i="54" l="1"/>
  <c r="P38" i="54" s="1"/>
  <c r="Z59" i="54"/>
  <c r="Q60" i="54" l="1"/>
  <c r="Q38" i="54" s="1"/>
  <c r="AA59" i="54"/>
  <c r="R60" i="54" l="1"/>
  <c r="R38" i="54" s="1"/>
  <c r="AB59" i="54"/>
  <c r="S60" i="54" s="1"/>
  <c r="S38" i="54" s="1"/>
  <c r="AC59" i="54" l="1"/>
  <c r="T60" i="54" l="1"/>
  <c r="T38" i="54" s="1"/>
  <c r="AD59" i="54"/>
  <c r="U60" i="54" l="1"/>
  <c r="U38" i="54" s="1"/>
  <c r="AE59" i="54"/>
  <c r="V60" i="54" s="1"/>
  <c r="V38" i="54" s="1"/>
  <c r="AF59" i="54" l="1"/>
  <c r="W60" i="54" l="1"/>
  <c r="W38" i="54" s="1"/>
  <c r="AG59" i="54"/>
  <c r="X60" i="54" s="1"/>
  <c r="X38" i="54" s="1"/>
  <c r="AH59" i="54" l="1"/>
  <c r="Y60" i="54" s="1"/>
  <c r="Y38" i="54" s="1"/>
  <c r="AI59" i="54" l="1"/>
  <c r="Z60" i="54" s="1"/>
  <c r="Z38" i="54" s="1"/>
  <c r="AJ59" i="54" l="1"/>
  <c r="AA60" i="54" s="1"/>
  <c r="AA38" i="54" s="1"/>
  <c r="AK59" i="54" l="1"/>
  <c r="AB60" i="54" s="1"/>
  <c r="AB38" i="54" s="1"/>
  <c r="AL59" i="54" l="1"/>
  <c r="AC60" i="54" s="1"/>
  <c r="AC38" i="54" s="1"/>
  <c r="AM59" i="54" l="1"/>
  <c r="AC31" i="54" l="1"/>
  <c r="X31" i="54"/>
  <c r="S31" i="54"/>
  <c r="S30" i="54"/>
  <c r="N31" i="54"/>
  <c r="N30" i="54"/>
  <c r="I31" i="54"/>
  <c r="AC30" i="54" l="1"/>
  <c r="C31" i="54"/>
  <c r="D35" i="54"/>
  <c r="X30" i="54"/>
  <c r="I30" i="54"/>
  <c r="S36" i="54"/>
  <c r="X36" i="54"/>
  <c r="D36" i="54"/>
  <c r="N36" i="54"/>
  <c r="AC36" i="54"/>
  <c r="I36" i="54"/>
  <c r="N35" i="54"/>
  <c r="AC35" i="54" l="1"/>
  <c r="I35" i="54"/>
  <c r="I37" i="54" s="1"/>
  <c r="I39" i="54" s="1"/>
  <c r="N37" i="54"/>
  <c r="N39" i="54" s="1"/>
  <c r="F27" i="54" s="1"/>
  <c r="X35" i="54"/>
  <c r="X37" i="54" s="1"/>
  <c r="X39" i="54" s="1"/>
  <c r="H27" i="54" s="1"/>
  <c r="D37" i="54"/>
  <c r="D39" i="54" s="1"/>
  <c r="D27" i="54" s="1"/>
  <c r="X32" i="54"/>
  <c r="I32" i="54"/>
  <c r="D32" i="54"/>
  <c r="N32" i="54"/>
  <c r="AC32" i="54"/>
  <c r="E31" i="54"/>
  <c r="Y31" i="54"/>
  <c r="C36" i="54"/>
  <c r="J31" i="54"/>
  <c r="O31" i="54"/>
  <c r="T31" i="54"/>
  <c r="E30" i="54"/>
  <c r="C30" i="54"/>
  <c r="Y30" i="54"/>
  <c r="J30" i="54"/>
  <c r="S35" i="54"/>
  <c r="E75" i="54" l="1"/>
  <c r="E27" i="54"/>
  <c r="B77" i="54"/>
  <c r="F75" i="54"/>
  <c r="G75" i="54" s="1"/>
  <c r="H75" i="54" s="1"/>
  <c r="I75" i="54" s="1"/>
  <c r="J75" i="54" s="1"/>
  <c r="K75" i="54" s="1"/>
  <c r="L75" i="54" s="1"/>
  <c r="M75" i="54" s="1"/>
  <c r="N75" i="54" s="1"/>
  <c r="O75" i="54" s="1"/>
  <c r="P75" i="54" s="1"/>
  <c r="Q75" i="54" s="1"/>
  <c r="R75" i="54" s="1"/>
  <c r="S75" i="54" s="1"/>
  <c r="T75" i="54" s="1"/>
  <c r="U75" i="54" s="1"/>
  <c r="V75" i="54" s="1"/>
  <c r="W75" i="54" s="1"/>
  <c r="X75" i="54" s="1"/>
  <c r="C35" i="54"/>
  <c r="C37" i="54" s="1"/>
  <c r="C39" i="54" s="1"/>
  <c r="S37" i="54"/>
  <c r="S39" i="54" s="1"/>
  <c r="G27" i="54" s="1"/>
  <c r="AC37" i="54"/>
  <c r="AC39" i="54" s="1"/>
  <c r="E35" i="54"/>
  <c r="Y35" i="54"/>
  <c r="J35" i="54"/>
  <c r="U31" i="54"/>
  <c r="T36" i="54"/>
  <c r="P31" i="54"/>
  <c r="O36" i="54"/>
  <c r="Z31" i="54"/>
  <c r="Y36" i="54"/>
  <c r="K31" i="54"/>
  <c r="J36" i="54"/>
  <c r="F31" i="54"/>
  <c r="E36" i="54"/>
  <c r="C32" i="54"/>
  <c r="Z30" i="54"/>
  <c r="Y32" i="54"/>
  <c r="F30" i="54"/>
  <c r="E32" i="54"/>
  <c r="T30" i="54"/>
  <c r="S32" i="54"/>
  <c r="K30" i="54"/>
  <c r="J32" i="54"/>
  <c r="O30" i="54"/>
  <c r="Y64" i="54" l="1"/>
  <c r="I27" i="54"/>
  <c r="B78" i="54"/>
  <c r="B81" i="54"/>
  <c r="T35" i="54"/>
  <c r="F35" i="54"/>
  <c r="O35" i="54"/>
  <c r="O37" i="54" s="1"/>
  <c r="O39" i="54" s="1"/>
  <c r="Z35" i="54"/>
  <c r="K35" i="54"/>
  <c r="Y37" i="54"/>
  <c r="Y39" i="54" s="1"/>
  <c r="J37" i="54"/>
  <c r="J39" i="54" s="1"/>
  <c r="E37" i="54"/>
  <c r="E39" i="54" s="1"/>
  <c r="G31" i="54"/>
  <c r="F36" i="54"/>
  <c r="Q31" i="54"/>
  <c r="P36" i="54"/>
  <c r="L31" i="54"/>
  <c r="K36" i="54"/>
  <c r="AA31" i="54"/>
  <c r="Z36" i="54"/>
  <c r="V31" i="54"/>
  <c r="U36" i="54"/>
  <c r="U30" i="54"/>
  <c r="T32" i="54"/>
  <c r="G30" i="54"/>
  <c r="F32" i="54"/>
  <c r="L30" i="54"/>
  <c r="K32" i="54"/>
  <c r="P30" i="54"/>
  <c r="O32" i="54"/>
  <c r="AA30" i="54"/>
  <c r="Z32" i="54"/>
  <c r="T37" i="54" l="1"/>
  <c r="T39" i="54" s="1"/>
  <c r="U35" i="54"/>
  <c r="U37" i="54" s="1"/>
  <c r="U39" i="54" s="1"/>
  <c r="P35" i="54"/>
  <c r="P37" i="54" s="1"/>
  <c r="P39" i="54" s="1"/>
  <c r="G35" i="54"/>
  <c r="AA35" i="54"/>
  <c r="L35" i="54"/>
  <c r="F37" i="54"/>
  <c r="F39" i="54" s="1"/>
  <c r="Z37" i="54"/>
  <c r="Z39" i="54" s="1"/>
  <c r="K37" i="54"/>
  <c r="K39" i="54" s="1"/>
  <c r="G86" i="54" s="1"/>
  <c r="M31" i="54"/>
  <c r="L36" i="54"/>
  <c r="W31" i="54"/>
  <c r="V36" i="54"/>
  <c r="R31" i="54"/>
  <c r="Q36" i="54"/>
  <c r="AB31" i="54"/>
  <c r="AA36" i="54"/>
  <c r="H31" i="54"/>
  <c r="G36" i="54"/>
  <c r="M30" i="54"/>
  <c r="L32" i="54"/>
  <c r="H30" i="54"/>
  <c r="G32" i="54"/>
  <c r="Q30" i="54"/>
  <c r="P32" i="54"/>
  <c r="AB30" i="54"/>
  <c r="AA32" i="54"/>
  <c r="V30" i="54"/>
  <c r="U32" i="54"/>
  <c r="G11" i="53"/>
  <c r="G31" i="53"/>
  <c r="G3" i="53"/>
  <c r="F11" i="53"/>
  <c r="F31" i="53"/>
  <c r="F3" i="53"/>
  <c r="E11" i="53"/>
  <c r="E31" i="53"/>
  <c r="E3" i="53"/>
  <c r="N41" i="53"/>
  <c r="Q65" i="53" s="1"/>
  <c r="N40" i="53"/>
  <c r="Q60" i="53" s="1"/>
  <c r="N39" i="53"/>
  <c r="Q55" i="53" s="1"/>
  <c r="N38" i="53"/>
  <c r="Q50" i="53" s="1"/>
  <c r="N37" i="53"/>
  <c r="Q45" i="53" s="1"/>
  <c r="N36" i="53"/>
  <c r="Q40" i="53" s="1"/>
  <c r="N35" i="53"/>
  <c r="Q35" i="53" s="1"/>
  <c r="K31" i="53"/>
  <c r="J31" i="53"/>
  <c r="I12" i="53"/>
  <c r="K12" i="53" s="1"/>
  <c r="H12" i="53"/>
  <c r="H13" i="53" s="1"/>
  <c r="H14" i="53" s="1"/>
  <c r="D12" i="53"/>
  <c r="D13" i="53" s="1"/>
  <c r="D14" i="53" s="1"/>
  <c r="G14" i="53" s="1"/>
  <c r="C12" i="53"/>
  <c r="F12" i="53" s="1"/>
  <c r="B12" i="53"/>
  <c r="E12" i="53" s="1"/>
  <c r="K11" i="53"/>
  <c r="J11" i="53"/>
  <c r="I4" i="53"/>
  <c r="H4" i="53"/>
  <c r="J4" i="53" s="1"/>
  <c r="D4" i="53"/>
  <c r="D5" i="53" s="1"/>
  <c r="G5" i="53" s="1"/>
  <c r="C4" i="53"/>
  <c r="C5" i="53" s="1"/>
  <c r="F5" i="53" s="1"/>
  <c r="B4" i="53"/>
  <c r="E4" i="53" s="1"/>
  <c r="K3" i="53"/>
  <c r="J3" i="53"/>
  <c r="M11" i="53" l="1"/>
  <c r="O11" i="53" s="1"/>
  <c r="C13" i="53"/>
  <c r="C14" i="53" s="1"/>
  <c r="F14" i="53" s="1"/>
  <c r="G12" i="53"/>
  <c r="M3" i="53"/>
  <c r="O3" i="53" s="1"/>
  <c r="G13" i="53"/>
  <c r="M31" i="53"/>
  <c r="O31" i="53" s="1"/>
  <c r="L31" i="53"/>
  <c r="H5" i="53"/>
  <c r="J5" i="53" s="1"/>
  <c r="B13" i="53"/>
  <c r="E13" i="53" s="1"/>
  <c r="G4" i="53"/>
  <c r="I13" i="53"/>
  <c r="I14" i="53" s="1"/>
  <c r="F4" i="53"/>
  <c r="M4" i="53" s="1"/>
  <c r="O4" i="53" s="1"/>
  <c r="L11" i="53"/>
  <c r="J13" i="53"/>
  <c r="L3" i="53"/>
  <c r="B88" i="54"/>
  <c r="H86" i="54"/>
  <c r="I86" i="54" s="1"/>
  <c r="J86" i="54" s="1"/>
  <c r="K86" i="54" s="1"/>
  <c r="L86" i="54" s="1"/>
  <c r="M86" i="54" s="1"/>
  <c r="N86" i="54" s="1"/>
  <c r="O86" i="54" s="1"/>
  <c r="P86" i="54" s="1"/>
  <c r="Q86" i="54" s="1"/>
  <c r="R86" i="54" s="1"/>
  <c r="S86" i="54" s="1"/>
  <c r="T86" i="54" s="1"/>
  <c r="U86" i="54" s="1"/>
  <c r="V86" i="54" s="1"/>
  <c r="W86" i="54" s="1"/>
  <c r="X86" i="54" s="1"/>
  <c r="Y86" i="54" s="1"/>
  <c r="Z86" i="54" s="1"/>
  <c r="H36" i="54"/>
  <c r="M36" i="54"/>
  <c r="V35" i="54"/>
  <c r="W36" i="54"/>
  <c r="Q35" i="54"/>
  <c r="Q37" i="54" s="1"/>
  <c r="Q39" i="54" s="1"/>
  <c r="AB36" i="54"/>
  <c r="R36" i="54"/>
  <c r="AA37" i="54"/>
  <c r="AA39" i="54" s="1"/>
  <c r="W64" i="54" s="1"/>
  <c r="G37" i="54"/>
  <c r="G39" i="54" s="1"/>
  <c r="C64" i="54" s="1"/>
  <c r="L37" i="54"/>
  <c r="L39" i="54" s="1"/>
  <c r="M32" i="54"/>
  <c r="M35" i="54"/>
  <c r="AB32" i="54"/>
  <c r="AB35" i="54"/>
  <c r="H32" i="54"/>
  <c r="H35" i="54"/>
  <c r="W30" i="54"/>
  <c r="V32" i="54"/>
  <c r="R30" i="54"/>
  <c r="Q32" i="54"/>
  <c r="J14" i="53"/>
  <c r="H15" i="53"/>
  <c r="B5" i="53"/>
  <c r="E5" i="53" s="1"/>
  <c r="D15" i="53"/>
  <c r="G15" i="53" s="1"/>
  <c r="M12" i="53"/>
  <c r="O12" i="53" s="1"/>
  <c r="D6" i="53"/>
  <c r="G6" i="53" s="1"/>
  <c r="C6" i="53"/>
  <c r="F6" i="53" s="1"/>
  <c r="K4" i="53"/>
  <c r="L4" i="53" s="1"/>
  <c r="I5" i="53"/>
  <c r="J12" i="53"/>
  <c r="L12" i="53" s="1"/>
  <c r="C15" i="53" l="1"/>
  <c r="F15" i="53" s="1"/>
  <c r="F13" i="53"/>
  <c r="M13" i="53" s="1"/>
  <c r="O13" i="53" s="1"/>
  <c r="H6" i="53"/>
  <c r="K13" i="53"/>
  <c r="L13" i="53" s="1"/>
  <c r="B14" i="53"/>
  <c r="E14" i="53" s="1"/>
  <c r="M14" i="53" s="1"/>
  <c r="O14" i="53" s="1"/>
  <c r="B92" i="54"/>
  <c r="B89" i="54"/>
  <c r="B66" i="54"/>
  <c r="D64" i="54"/>
  <c r="E64" i="54" s="1"/>
  <c r="F64" i="54" s="1"/>
  <c r="G64" i="54" s="1"/>
  <c r="H64" i="54" s="1"/>
  <c r="I64" i="54" s="1"/>
  <c r="J64" i="54" s="1"/>
  <c r="K64" i="54" s="1"/>
  <c r="L64" i="54" s="1"/>
  <c r="M64" i="54" s="1"/>
  <c r="N64" i="54" s="1"/>
  <c r="O64" i="54" s="1"/>
  <c r="P64" i="54" s="1"/>
  <c r="Q64" i="54" s="1"/>
  <c r="R64" i="54" s="1"/>
  <c r="S64" i="54" s="1"/>
  <c r="T64" i="54" s="1"/>
  <c r="U64" i="54" s="1"/>
  <c r="V64" i="54" s="1"/>
  <c r="V37" i="54"/>
  <c r="V39" i="54" s="1"/>
  <c r="AB37" i="54"/>
  <c r="AB39" i="54" s="1"/>
  <c r="X64" i="54" s="1"/>
  <c r="M37" i="54"/>
  <c r="M39" i="54" s="1"/>
  <c r="H37" i="54"/>
  <c r="H39" i="54" s="1"/>
  <c r="W32" i="54"/>
  <c r="W35" i="54"/>
  <c r="R32" i="54"/>
  <c r="R35" i="54"/>
  <c r="H16" i="53"/>
  <c r="J15" i="53"/>
  <c r="D16" i="53"/>
  <c r="G16" i="53" s="1"/>
  <c r="K14" i="53"/>
  <c r="L14" i="53" s="1"/>
  <c r="I15" i="53"/>
  <c r="B6" i="53"/>
  <c r="E6" i="53" s="1"/>
  <c r="M5" i="53"/>
  <c r="O5" i="53" s="1"/>
  <c r="K5" i="53"/>
  <c r="L5" i="53" s="1"/>
  <c r="I6" i="53"/>
  <c r="D7" i="53"/>
  <c r="G7" i="53" s="1"/>
  <c r="C7" i="53"/>
  <c r="F7" i="53" s="1"/>
  <c r="C16" i="53" l="1"/>
  <c r="F16" i="53" s="1"/>
  <c r="B15" i="53"/>
  <c r="E15" i="53" s="1"/>
  <c r="M15" i="53" s="1"/>
  <c r="O15" i="53" s="1"/>
  <c r="H7" i="53"/>
  <c r="J6" i="53"/>
  <c r="B67" i="54"/>
  <c r="B70" i="54"/>
  <c r="W37" i="54"/>
  <c r="W39" i="54" s="1"/>
  <c r="R37" i="54"/>
  <c r="R39" i="54" s="1"/>
  <c r="C8" i="53"/>
  <c r="F8" i="53" s="1"/>
  <c r="D17" i="53"/>
  <c r="G17" i="53" s="1"/>
  <c r="I16" i="53"/>
  <c r="K15" i="53"/>
  <c r="L15" i="53" s="1"/>
  <c r="M6" i="53"/>
  <c r="O6" i="53" s="1"/>
  <c r="B7" i="53"/>
  <c r="E7" i="53" s="1"/>
  <c r="D8" i="53"/>
  <c r="G8" i="53" s="1"/>
  <c r="I7" i="53"/>
  <c r="K6" i="53"/>
  <c r="H17" i="53"/>
  <c r="J16" i="53"/>
  <c r="C17" i="53" l="1"/>
  <c r="F17" i="53" s="1"/>
  <c r="L6" i="53"/>
  <c r="B16" i="53"/>
  <c r="E16" i="53" s="1"/>
  <c r="H8" i="53"/>
  <c r="J7" i="53"/>
  <c r="B8" i="53"/>
  <c r="E8" i="53" s="1"/>
  <c r="M7" i="53"/>
  <c r="O7" i="53" s="1"/>
  <c r="D18" i="53"/>
  <c r="G18" i="53" s="1"/>
  <c r="J17" i="53"/>
  <c r="H18" i="53"/>
  <c r="C9" i="53"/>
  <c r="F9" i="53" s="1"/>
  <c r="D9" i="53"/>
  <c r="G9" i="53" s="1"/>
  <c r="I8" i="53"/>
  <c r="K7" i="53"/>
  <c r="I17" i="53"/>
  <c r="K16" i="53"/>
  <c r="L16" i="53" s="1"/>
  <c r="C18" i="53" l="1"/>
  <c r="F18" i="53" s="1"/>
  <c r="M16" i="53"/>
  <c r="O16" i="53" s="1"/>
  <c r="B17" i="53"/>
  <c r="E17" i="53" s="1"/>
  <c r="M17" i="53" s="1"/>
  <c r="O17" i="53" s="1"/>
  <c r="L7" i="53"/>
  <c r="H9" i="53"/>
  <c r="J8" i="53"/>
  <c r="K8" i="53"/>
  <c r="I9" i="53"/>
  <c r="C10" i="53"/>
  <c r="F10" i="53" s="1"/>
  <c r="D10" i="53"/>
  <c r="G10" i="53" s="1"/>
  <c r="K17" i="53"/>
  <c r="L17" i="53" s="1"/>
  <c r="I18" i="53"/>
  <c r="H19" i="53"/>
  <c r="J18" i="53"/>
  <c r="D19" i="53"/>
  <c r="G19" i="53" s="1"/>
  <c r="B9" i="53"/>
  <c r="E9" i="53" s="1"/>
  <c r="M8" i="53"/>
  <c r="O8" i="53" s="1"/>
  <c r="C19" i="53" l="1"/>
  <c r="F19" i="53" s="1"/>
  <c r="L8" i="53"/>
  <c r="B18" i="53"/>
  <c r="E18" i="53" s="1"/>
  <c r="M18" i="53" s="1"/>
  <c r="O18" i="53" s="1"/>
  <c r="H10" i="53"/>
  <c r="J10" i="53" s="1"/>
  <c r="J9" i="53"/>
  <c r="B10" i="53"/>
  <c r="M9" i="53"/>
  <c r="O9" i="53" s="1"/>
  <c r="J19" i="53"/>
  <c r="H20" i="53"/>
  <c r="I19" i="53"/>
  <c r="K18" i="53"/>
  <c r="L18" i="53" s="1"/>
  <c r="I10" i="53"/>
  <c r="K10" i="53" s="1"/>
  <c r="K9" i="53"/>
  <c r="D20" i="53"/>
  <c r="G20" i="53" s="1"/>
  <c r="C20" i="53" l="1"/>
  <c r="F20" i="53" s="1"/>
  <c r="B19" i="53"/>
  <c r="E19" i="53" s="1"/>
  <c r="M19" i="53" s="1"/>
  <c r="O19" i="53" s="1"/>
  <c r="L9" i="53"/>
  <c r="L10" i="53"/>
  <c r="E10" i="53"/>
  <c r="M10" i="53" s="1"/>
  <c r="O10" i="53" s="1"/>
  <c r="H21" i="53"/>
  <c r="J20" i="53"/>
  <c r="D21" i="53"/>
  <c r="G21" i="53" s="1"/>
  <c r="I20" i="53"/>
  <c r="K19" i="53"/>
  <c r="L19" i="53" s="1"/>
  <c r="C21" i="53" l="1"/>
  <c r="F21" i="53" s="1"/>
  <c r="B20" i="53"/>
  <c r="E20" i="53" s="1"/>
  <c r="M20" i="53" s="1"/>
  <c r="O20" i="53" s="1"/>
  <c r="D22" i="53"/>
  <c r="G22" i="53" s="1"/>
  <c r="K20" i="53"/>
  <c r="L20" i="53" s="1"/>
  <c r="I21" i="53"/>
  <c r="J21" i="53"/>
  <c r="H22" i="53"/>
  <c r="C22" i="53" l="1"/>
  <c r="F22" i="53" s="1"/>
  <c r="B21" i="53"/>
  <c r="E21" i="53" s="1"/>
  <c r="H23" i="53"/>
  <c r="J22" i="53"/>
  <c r="D23" i="53"/>
  <c r="G23" i="53" s="1"/>
  <c r="I22" i="53"/>
  <c r="K21" i="53"/>
  <c r="L21" i="53" s="1"/>
  <c r="C23" i="53" l="1"/>
  <c r="F23" i="53" s="1"/>
  <c r="B22" i="53"/>
  <c r="E22" i="53" s="1"/>
  <c r="M22" i="53" s="1"/>
  <c r="O22" i="53" s="1"/>
  <c r="M21" i="53"/>
  <c r="O21" i="53" s="1"/>
  <c r="K22" i="53"/>
  <c r="L22" i="53" s="1"/>
  <c r="I23" i="53"/>
  <c r="D24" i="53"/>
  <c r="G24" i="53" s="1"/>
  <c r="H24" i="53"/>
  <c r="J23" i="53"/>
  <c r="C24" i="53" l="1"/>
  <c r="F24" i="53" s="1"/>
  <c r="B23" i="53"/>
  <c r="E23" i="53" s="1"/>
  <c r="M23" i="53" s="1"/>
  <c r="O23" i="53" s="1"/>
  <c r="D25" i="53"/>
  <c r="G25" i="53" s="1"/>
  <c r="H25" i="53"/>
  <c r="J24" i="53"/>
  <c r="I24" i="53"/>
  <c r="K23" i="53"/>
  <c r="L23" i="53" s="1"/>
  <c r="C25" i="53" l="1"/>
  <c r="F25" i="53" s="1"/>
  <c r="B24" i="53"/>
  <c r="E24" i="53" s="1"/>
  <c r="M24" i="53" s="1"/>
  <c r="O24" i="53" s="1"/>
  <c r="J25" i="53"/>
  <c r="H26" i="53"/>
  <c r="I25" i="53"/>
  <c r="K24" i="53"/>
  <c r="L24" i="53" s="1"/>
  <c r="D26" i="53"/>
  <c r="G26" i="53" s="1"/>
  <c r="C26" i="53" l="1"/>
  <c r="F26" i="53" s="1"/>
  <c r="B25" i="53"/>
  <c r="E25" i="53" s="1"/>
  <c r="M25" i="53" s="1"/>
  <c r="O25" i="53" s="1"/>
  <c r="K25" i="53"/>
  <c r="L25" i="53" s="1"/>
  <c r="I26" i="53"/>
  <c r="H27" i="53"/>
  <c r="J26" i="53"/>
  <c r="D27" i="53"/>
  <c r="G27" i="53" s="1"/>
  <c r="C27" i="53" l="1"/>
  <c r="F27" i="53" s="1"/>
  <c r="B26" i="53"/>
  <c r="E26" i="53" s="1"/>
  <c r="I27" i="53"/>
  <c r="K26" i="53"/>
  <c r="L26" i="53" s="1"/>
  <c r="J27" i="53"/>
  <c r="H28" i="53"/>
  <c r="D28" i="53"/>
  <c r="G28" i="53" s="1"/>
  <c r="C28" i="53" l="1"/>
  <c r="F28" i="53" s="1"/>
  <c r="M26" i="53"/>
  <c r="O26" i="53" s="1"/>
  <c r="B27" i="53"/>
  <c r="E27" i="53" s="1"/>
  <c r="M27" i="53" s="1"/>
  <c r="O27" i="53" s="1"/>
  <c r="H29" i="53"/>
  <c r="J28" i="53"/>
  <c r="D29" i="53"/>
  <c r="G29" i="53" s="1"/>
  <c r="I28" i="53"/>
  <c r="K27" i="53"/>
  <c r="L27" i="53" s="1"/>
  <c r="C29" i="53" l="1"/>
  <c r="F29" i="53" s="1"/>
  <c r="B28" i="53"/>
  <c r="E28" i="53" s="1"/>
  <c r="M28" i="53" s="1"/>
  <c r="O28" i="53" s="1"/>
  <c r="D30" i="53"/>
  <c r="G30" i="53" s="1"/>
  <c r="H30" i="53"/>
  <c r="J30" i="53" s="1"/>
  <c r="J29" i="53"/>
  <c r="K28" i="53"/>
  <c r="L28" i="53" s="1"/>
  <c r="I29" i="53"/>
  <c r="C30" i="53" l="1"/>
  <c r="F30" i="53" s="1"/>
  <c r="B29" i="53"/>
  <c r="E29" i="53" s="1"/>
  <c r="M29" i="53" s="1"/>
  <c r="O29" i="53" s="1"/>
  <c r="I30" i="53"/>
  <c r="K30" i="53" s="1"/>
  <c r="L30" i="53" s="1"/>
  <c r="K29" i="53"/>
  <c r="L29" i="53" s="1"/>
  <c r="B30" i="53" l="1"/>
  <c r="E30" i="53" s="1"/>
  <c r="M30" i="53" s="1"/>
  <c r="O30" i="53" s="1"/>
  <c r="D124" i="48" l="1"/>
  <c r="R102" i="48" l="1"/>
  <c r="Q102" i="48"/>
  <c r="P102" i="48"/>
  <c r="O102" i="48"/>
  <c r="N102" i="48"/>
  <c r="M102" i="48"/>
  <c r="L102" i="48"/>
  <c r="J102" i="48"/>
  <c r="I102" i="48"/>
  <c r="H102" i="48"/>
  <c r="G102" i="48"/>
  <c r="F102" i="48"/>
  <c r="E102" i="48"/>
  <c r="Z97" i="48" a="1"/>
  <c r="Z97" i="48" s="1"/>
  <c r="Y97" i="48" a="1"/>
  <c r="Y97" i="48" s="1"/>
  <c r="X97" i="48" a="1"/>
  <c r="X97" i="48" s="1"/>
  <c r="W97" i="48" a="1"/>
  <c r="W97" i="48" s="1"/>
  <c r="V97" i="48" a="1"/>
  <c r="V97" i="48" s="1"/>
  <c r="U97" i="48" a="1"/>
  <c r="U97" i="48" s="1"/>
  <c r="T97" i="48" a="1"/>
  <c r="T97" i="48" s="1"/>
  <c r="R97" i="48" a="1"/>
  <c r="R97" i="48" s="1"/>
  <c r="Q97" i="48" a="1"/>
  <c r="Q97" i="48" s="1"/>
  <c r="P97" i="48" a="1"/>
  <c r="P97" i="48" s="1"/>
  <c r="O97" i="48" a="1"/>
  <c r="O97" i="48" s="1"/>
  <c r="N97" i="48" a="1"/>
  <c r="N97" i="48" s="1"/>
  <c r="M97" i="48" a="1"/>
  <c r="M97" i="48" s="1"/>
  <c r="L97" i="48" a="1"/>
  <c r="L97" i="48" s="1"/>
  <c r="J88" i="48"/>
  <c r="I88" i="48"/>
  <c r="H88" i="48"/>
  <c r="G88" i="48"/>
  <c r="F88" i="48"/>
  <c r="E88" i="48"/>
  <c r="Z86" i="48"/>
  <c r="Y86" i="48"/>
  <c r="X86" i="48"/>
  <c r="W86" i="48"/>
  <c r="V86" i="48"/>
  <c r="U86" i="48"/>
  <c r="T86" i="48"/>
  <c r="J86" i="48"/>
  <c r="I86" i="48"/>
  <c r="H86" i="48"/>
  <c r="G86" i="48"/>
  <c r="F86" i="48"/>
  <c r="E86" i="48"/>
  <c r="J85" i="48"/>
  <c r="I85" i="48"/>
  <c r="H85" i="48"/>
  <c r="G85" i="48"/>
  <c r="F85" i="48"/>
  <c r="E85" i="48"/>
  <c r="Z84" i="48"/>
  <c r="Y84" i="48"/>
  <c r="X84" i="48"/>
  <c r="W84" i="48"/>
  <c r="V84" i="48"/>
  <c r="U84" i="48"/>
  <c r="T84" i="48"/>
  <c r="J84" i="48"/>
  <c r="I84" i="48"/>
  <c r="H84" i="48"/>
  <c r="G84" i="48"/>
  <c r="F84" i="48"/>
  <c r="E84" i="48"/>
  <c r="J83" i="48"/>
  <c r="I83" i="48"/>
  <c r="H83" i="48"/>
  <c r="G83" i="48"/>
  <c r="F83" i="48"/>
  <c r="E83" i="48"/>
  <c r="J82" i="48"/>
  <c r="I82" i="48"/>
  <c r="H82" i="48"/>
  <c r="G82" i="48"/>
  <c r="F82" i="48"/>
  <c r="E82" i="48"/>
  <c r="J81" i="48"/>
  <c r="I81" i="48"/>
  <c r="H81" i="48"/>
  <c r="G81" i="48"/>
  <c r="F81" i="48"/>
  <c r="E81" i="48"/>
  <c r="Z77" i="48"/>
  <c r="Y77" i="48"/>
  <c r="X77" i="48"/>
  <c r="W77" i="48"/>
  <c r="V77" i="48"/>
  <c r="U77" i="48"/>
  <c r="T77" i="48"/>
  <c r="R77" i="48"/>
  <c r="Q77" i="48"/>
  <c r="P77" i="48"/>
  <c r="O77" i="48"/>
  <c r="N77" i="48"/>
  <c r="M77" i="48"/>
  <c r="L77" i="48"/>
  <c r="J77" i="48"/>
  <c r="I77" i="48"/>
  <c r="H77" i="48"/>
  <c r="G77" i="48"/>
  <c r="F77" i="48"/>
  <c r="E77" i="48"/>
  <c r="Z76" i="48"/>
  <c r="Y76" i="48"/>
  <c r="X76" i="48"/>
  <c r="W76" i="48"/>
  <c r="V76" i="48"/>
  <c r="U76" i="48"/>
  <c r="T76" i="48"/>
  <c r="R76" i="48"/>
  <c r="Q76" i="48"/>
  <c r="P76" i="48"/>
  <c r="O76" i="48"/>
  <c r="N76" i="48"/>
  <c r="M76" i="48"/>
  <c r="L76" i="48"/>
  <c r="J76" i="48"/>
  <c r="I76" i="48"/>
  <c r="H76" i="48"/>
  <c r="G76" i="48"/>
  <c r="F76" i="48"/>
  <c r="E76" i="48"/>
  <c r="Z75" i="48"/>
  <c r="Y75" i="48"/>
  <c r="X75" i="48"/>
  <c r="W75" i="48"/>
  <c r="V75" i="48"/>
  <c r="U75" i="48"/>
  <c r="T75" i="48"/>
  <c r="R75" i="48"/>
  <c r="Q75" i="48"/>
  <c r="P75" i="48"/>
  <c r="O75" i="48"/>
  <c r="N75" i="48"/>
  <c r="M75" i="48"/>
  <c r="L75" i="48"/>
  <c r="J75" i="48"/>
  <c r="I75" i="48"/>
  <c r="H75" i="48"/>
  <c r="G75" i="48"/>
  <c r="F75" i="48"/>
  <c r="E75" i="48"/>
  <c r="Z74" i="48"/>
  <c r="Y74" i="48"/>
  <c r="X74" i="48"/>
  <c r="W74" i="48"/>
  <c r="V74" i="48"/>
  <c r="U74" i="48"/>
  <c r="T74" i="48"/>
  <c r="R74" i="48"/>
  <c r="Q74" i="48"/>
  <c r="P74" i="48"/>
  <c r="O74" i="48"/>
  <c r="N74" i="48"/>
  <c r="M74" i="48"/>
  <c r="L74" i="48"/>
  <c r="J74" i="48"/>
  <c r="I74" i="48"/>
  <c r="H74" i="48"/>
  <c r="G74" i="48"/>
  <c r="F74" i="48"/>
  <c r="E74" i="48"/>
  <c r="Z72" i="48"/>
  <c r="Y72" i="48"/>
  <c r="X72" i="48"/>
  <c r="W72" i="48"/>
  <c r="V72" i="48"/>
  <c r="U72" i="48"/>
  <c r="T72" i="48"/>
  <c r="R72" i="48"/>
  <c r="Q72" i="48"/>
  <c r="P72" i="48"/>
  <c r="O72" i="48"/>
  <c r="N72" i="48"/>
  <c r="M72" i="48"/>
  <c r="L72" i="48"/>
  <c r="J72" i="48"/>
  <c r="I72" i="48"/>
  <c r="H72" i="48"/>
  <c r="G72" i="48"/>
  <c r="F72" i="48"/>
  <c r="E72" i="48"/>
  <c r="Z71" i="48"/>
  <c r="Y71" i="48"/>
  <c r="X71" i="48"/>
  <c r="W71" i="48"/>
  <c r="V71" i="48"/>
  <c r="U71" i="48"/>
  <c r="T71" i="48"/>
  <c r="R71" i="48"/>
  <c r="Q71" i="48"/>
  <c r="P71" i="48"/>
  <c r="O71" i="48"/>
  <c r="N71" i="48"/>
  <c r="M71" i="48"/>
  <c r="L71" i="48"/>
  <c r="J71" i="48"/>
  <c r="I71" i="48"/>
  <c r="H71" i="48"/>
  <c r="G71" i="48"/>
  <c r="F71" i="48"/>
  <c r="E71" i="48"/>
  <c r="Z69" i="48" a="1"/>
  <c r="Z69" i="48" s="1"/>
  <c r="Y69" i="48" a="1"/>
  <c r="Y69" i="48" s="1"/>
  <c r="X69" i="48" a="1"/>
  <c r="X69" i="48" s="1"/>
  <c r="W69" i="48" a="1"/>
  <c r="W69" i="48" s="1"/>
  <c r="V69" i="48" a="1"/>
  <c r="V69" i="48" s="1"/>
  <c r="U69" i="48" a="1"/>
  <c r="U69" i="48" s="1"/>
  <c r="T69" i="48" a="1"/>
  <c r="T69" i="48" s="1"/>
  <c r="R69" i="48" a="1"/>
  <c r="R69" i="48" s="1"/>
  <c r="Q69" i="48" a="1"/>
  <c r="Q69" i="48" s="1"/>
  <c r="P69" i="48" a="1"/>
  <c r="P69" i="48" s="1"/>
  <c r="O69" i="48" a="1"/>
  <c r="O69" i="48" s="1"/>
  <c r="N69" i="48" a="1"/>
  <c r="N69" i="48" s="1"/>
  <c r="M69" i="48" a="1"/>
  <c r="M69" i="48" s="1"/>
  <c r="L69" i="48" a="1"/>
  <c r="L69" i="48" s="1"/>
  <c r="T64" i="48"/>
  <c r="L64" i="48"/>
  <c r="G90" i="48" l="1"/>
  <c r="I90" i="48"/>
  <c r="E90" i="48"/>
  <c r="F90" i="48"/>
  <c r="J90" i="48"/>
  <c r="H90" i="48"/>
  <c r="D88" i="48"/>
  <c r="D84" i="48"/>
  <c r="U11" i="48"/>
  <c r="M11" i="48"/>
  <c r="N11" i="48" s="1"/>
  <c r="O11" i="48" l="1"/>
  <c r="V11" i="48"/>
  <c r="W11" i="48" s="1"/>
  <c r="P11" i="48" l="1"/>
  <c r="X11" i="48"/>
  <c r="Q11" i="48" l="1"/>
  <c r="Y11" i="48"/>
  <c r="R11" i="48" l="1"/>
  <c r="Z11" i="48"/>
  <c r="E11" i="48" l="1"/>
  <c r="E124" i="48" s="1"/>
  <c r="D71" i="48"/>
  <c r="D72" i="48"/>
  <c r="D74" i="48"/>
  <c r="D75" i="48"/>
  <c r="D76" i="48"/>
  <c r="D77" i="48"/>
  <c r="D81" i="48"/>
  <c r="D82" i="48"/>
  <c r="D83" i="48"/>
  <c r="D85" i="48"/>
  <c r="D86" i="48"/>
  <c r="D102" i="48"/>
  <c r="D90" i="48" l="1"/>
  <c r="F11" i="48"/>
  <c r="F124" i="48" s="1"/>
  <c r="B10" i="51"/>
  <c r="Y22" i="48" l="1"/>
  <c r="Y32" i="48" s="1"/>
  <c r="Y42" i="48" s="1"/>
  <c r="Q22" i="48"/>
  <c r="Q32" i="48" s="1"/>
  <c r="Q42" i="48" s="1"/>
  <c r="M22" i="48"/>
  <c r="M32" i="48" s="1"/>
  <c r="M42" i="48" s="1"/>
  <c r="X22" i="48"/>
  <c r="X32" i="48" s="1"/>
  <c r="X42" i="48" s="1"/>
  <c r="P22" i="48"/>
  <c r="P32" i="48" s="1"/>
  <c r="P42" i="48" s="1"/>
  <c r="L22" i="48"/>
  <c r="L32" i="48" s="1"/>
  <c r="Z22" i="48"/>
  <c r="Z32" i="48" s="1"/>
  <c r="Z42" i="48" s="1"/>
  <c r="W22" i="48"/>
  <c r="W32" i="48" s="1"/>
  <c r="W42" i="48" s="1"/>
  <c r="O22" i="48"/>
  <c r="O32" i="48" s="1"/>
  <c r="O42" i="48" s="1"/>
  <c r="V22" i="48"/>
  <c r="V32" i="48" s="1"/>
  <c r="V42" i="48" s="1"/>
  <c r="N22" i="48"/>
  <c r="N32" i="48" s="1"/>
  <c r="N42" i="48" s="1"/>
  <c r="R22" i="48"/>
  <c r="R32" i="48" s="1"/>
  <c r="R42" i="48" s="1"/>
  <c r="U22" i="48"/>
  <c r="U32" i="48" s="1"/>
  <c r="U42" i="48" s="1"/>
  <c r="T22" i="48"/>
  <c r="T32" i="48" s="1"/>
  <c r="F22" i="48"/>
  <c r="J22" i="48"/>
  <c r="G22" i="48"/>
  <c r="I22" i="48"/>
  <c r="D22" i="48"/>
  <c r="H22" i="48"/>
  <c r="E22" i="48"/>
  <c r="G11" i="48"/>
  <c r="G124" i="48" s="1"/>
  <c r="C33" i="48"/>
  <c r="C43" i="48"/>
  <c r="T42" i="48" l="1"/>
  <c r="T63" i="48" s="1"/>
  <c r="T62" i="48"/>
  <c r="L62" i="48"/>
  <c r="L42" i="48"/>
  <c r="L63" i="48" s="1"/>
  <c r="W33" i="48"/>
  <c r="W43" i="48" s="1"/>
  <c r="X33" i="48"/>
  <c r="X43" i="48" s="1"/>
  <c r="T33" i="48"/>
  <c r="T43" i="48" s="1"/>
  <c r="U33" i="48"/>
  <c r="U43" i="48" s="1"/>
  <c r="U63" i="48" s="1"/>
  <c r="Y33" i="48"/>
  <c r="Y43" i="48" s="1"/>
  <c r="V33" i="48"/>
  <c r="V43" i="48" s="1"/>
  <c r="Z33" i="48"/>
  <c r="Z43" i="48" s="1"/>
  <c r="Q33" i="48"/>
  <c r="Q43" i="48" s="1"/>
  <c r="M33" i="48"/>
  <c r="M43" i="48" s="1"/>
  <c r="M63" i="48" s="1"/>
  <c r="P33" i="48"/>
  <c r="P43" i="48" s="1"/>
  <c r="L33" i="48"/>
  <c r="L43" i="48" s="1"/>
  <c r="R33" i="48"/>
  <c r="R43" i="48" s="1"/>
  <c r="O33" i="48"/>
  <c r="O43" i="48" s="1"/>
  <c r="N33" i="48"/>
  <c r="N43" i="48" s="1"/>
  <c r="G32" i="48"/>
  <c r="G42" i="48" s="1"/>
  <c r="H32" i="48"/>
  <c r="H42" i="48" s="1"/>
  <c r="J32" i="48"/>
  <c r="J42" i="48" s="1"/>
  <c r="E32" i="48"/>
  <c r="E42" i="48" s="1"/>
  <c r="D32" i="48"/>
  <c r="D42" i="48" s="1"/>
  <c r="F32" i="48"/>
  <c r="F42" i="48" s="1"/>
  <c r="I32" i="48"/>
  <c r="I42" i="48" s="1"/>
  <c r="C44" i="48"/>
  <c r="C45" i="48" s="1"/>
  <c r="C46" i="48" s="1"/>
  <c r="C47" i="48" s="1"/>
  <c r="C48" i="48" s="1"/>
  <c r="H33" i="48"/>
  <c r="H43" i="48" s="1"/>
  <c r="E33" i="48"/>
  <c r="E43" i="48" s="1"/>
  <c r="E63" i="48" s="1"/>
  <c r="I33" i="48"/>
  <c r="I43" i="48" s="1"/>
  <c r="F33" i="48"/>
  <c r="F43" i="48" s="1"/>
  <c r="J33" i="48"/>
  <c r="J43" i="48" s="1"/>
  <c r="G33" i="48"/>
  <c r="G43" i="48" s="1"/>
  <c r="H11" i="48"/>
  <c r="H124" i="48" s="1"/>
  <c r="C34" i="48"/>
  <c r="D33" i="48"/>
  <c r="D43" i="48" s="1"/>
  <c r="E62" i="48" l="1"/>
  <c r="M62" i="48"/>
  <c r="T34" i="48"/>
  <c r="T44" i="48" s="1"/>
  <c r="X34" i="48"/>
  <c r="X44" i="48" s="1"/>
  <c r="U34" i="48"/>
  <c r="U44" i="48" s="1"/>
  <c r="Z34" i="48"/>
  <c r="Z44" i="48" s="1"/>
  <c r="W34" i="48"/>
  <c r="W44" i="48" s="1"/>
  <c r="Y34" i="48"/>
  <c r="Y44" i="48" s="1"/>
  <c r="V34" i="48"/>
  <c r="U62" i="48"/>
  <c r="R34" i="48"/>
  <c r="R44" i="48" s="1"/>
  <c r="N34" i="48"/>
  <c r="N44" i="48" s="1"/>
  <c r="N63" i="48" s="1"/>
  <c r="Q34" i="48"/>
  <c r="Q44" i="48" s="1"/>
  <c r="M34" i="48"/>
  <c r="M44" i="48" s="1"/>
  <c r="L34" i="48"/>
  <c r="L44" i="48" s="1"/>
  <c r="P34" i="48"/>
  <c r="P44" i="48" s="1"/>
  <c r="O34" i="48"/>
  <c r="O44" i="48" s="1"/>
  <c r="F34" i="48"/>
  <c r="J34" i="48"/>
  <c r="J44" i="48" s="1"/>
  <c r="G34" i="48"/>
  <c r="G44" i="48" s="1"/>
  <c r="H34" i="48"/>
  <c r="H44" i="48" s="1"/>
  <c r="E34" i="48"/>
  <c r="E44" i="48" s="1"/>
  <c r="I34" i="48"/>
  <c r="I44" i="48" s="1"/>
  <c r="I11" i="48"/>
  <c r="I124" i="48" s="1"/>
  <c r="C35" i="48"/>
  <c r="D34" i="48"/>
  <c r="D44" i="48" s="1"/>
  <c r="D63" i="48" s="1"/>
  <c r="F44" i="48" l="1"/>
  <c r="F63" i="48" s="1"/>
  <c r="F62" i="48"/>
  <c r="N62" i="48"/>
  <c r="T35" i="48"/>
  <c r="T45" i="48" s="1"/>
  <c r="U35" i="48"/>
  <c r="U45" i="48" s="1"/>
  <c r="W35" i="48"/>
  <c r="X35" i="48"/>
  <c r="X45" i="48" s="1"/>
  <c r="V35" i="48"/>
  <c r="V45" i="48" s="1"/>
  <c r="Y35" i="48"/>
  <c r="Y45" i="48" s="1"/>
  <c r="Z35" i="48"/>
  <c r="Z45" i="48" s="1"/>
  <c r="V44" i="48"/>
  <c r="V63" i="48" s="1"/>
  <c r="V62" i="48"/>
  <c r="O35" i="48"/>
  <c r="R35" i="48"/>
  <c r="R45" i="48" s="1"/>
  <c r="N35" i="48"/>
  <c r="N45" i="48" s="1"/>
  <c r="M35" i="48"/>
  <c r="M45" i="48" s="1"/>
  <c r="L35" i="48"/>
  <c r="L45" i="48" s="1"/>
  <c r="Q35" i="48"/>
  <c r="Q45" i="48" s="1"/>
  <c r="P35" i="48"/>
  <c r="P45" i="48" s="1"/>
  <c r="H35" i="48"/>
  <c r="H45" i="48" s="1"/>
  <c r="E35" i="48"/>
  <c r="E45" i="48" s="1"/>
  <c r="I35" i="48"/>
  <c r="I45" i="48" s="1"/>
  <c r="F35" i="48"/>
  <c r="F45" i="48" s="1"/>
  <c r="J35" i="48"/>
  <c r="J45" i="48" s="1"/>
  <c r="G35" i="48"/>
  <c r="J11" i="48"/>
  <c r="D62" i="48"/>
  <c r="C36" i="48"/>
  <c r="D35" i="48"/>
  <c r="D45" i="48" s="1"/>
  <c r="J124" i="48" l="1"/>
  <c r="W45" i="48"/>
  <c r="W63" i="48" s="1"/>
  <c r="W62" i="48"/>
  <c r="Z36" i="48"/>
  <c r="Z46" i="48" s="1"/>
  <c r="V36" i="48"/>
  <c r="V46" i="48" s="1"/>
  <c r="W36" i="48"/>
  <c r="W46" i="48" s="1"/>
  <c r="U36" i="48"/>
  <c r="U46" i="48" s="1"/>
  <c r="T36" i="48"/>
  <c r="T46" i="48" s="1"/>
  <c r="Y36" i="48"/>
  <c r="Y46" i="48" s="1"/>
  <c r="X36" i="48"/>
  <c r="X46" i="48" s="1"/>
  <c r="X63" i="48" s="1"/>
  <c r="G45" i="48"/>
  <c r="G63" i="48" s="1"/>
  <c r="G62" i="48"/>
  <c r="O45" i="48"/>
  <c r="O63" i="48" s="1"/>
  <c r="O62" i="48"/>
  <c r="P36" i="48"/>
  <c r="P46" i="48" s="1"/>
  <c r="P63" i="48" s="1"/>
  <c r="L36" i="48"/>
  <c r="L46" i="48" s="1"/>
  <c r="O36" i="48"/>
  <c r="O46" i="48" s="1"/>
  <c r="N36" i="48"/>
  <c r="N46" i="48" s="1"/>
  <c r="M36" i="48"/>
  <c r="M46" i="48" s="1"/>
  <c r="R36" i="48"/>
  <c r="R46" i="48" s="1"/>
  <c r="Q36" i="48"/>
  <c r="Q46" i="48" s="1"/>
  <c r="F36" i="48"/>
  <c r="F46" i="48" s="1"/>
  <c r="J36" i="48"/>
  <c r="J46" i="48" s="1"/>
  <c r="G36" i="48"/>
  <c r="G46" i="48" s="1"/>
  <c r="H36" i="48"/>
  <c r="H46" i="48" s="1"/>
  <c r="H63" i="48" s="1"/>
  <c r="E36" i="48"/>
  <c r="E46" i="48" s="1"/>
  <c r="I36" i="48"/>
  <c r="I46" i="48" s="1"/>
  <c r="C37" i="48"/>
  <c r="D36" i="48"/>
  <c r="D46" i="48" s="1"/>
  <c r="D14" i="43"/>
  <c r="H62" i="48" l="1"/>
  <c r="X62" i="48"/>
  <c r="W37" i="48"/>
  <c r="W47" i="48" s="1"/>
  <c r="U37" i="48"/>
  <c r="U47" i="48" s="1"/>
  <c r="X37" i="48"/>
  <c r="X47" i="48" s="1"/>
  <c r="V37" i="48"/>
  <c r="V47" i="48" s="1"/>
  <c r="T37" i="48"/>
  <c r="T47" i="48" s="1"/>
  <c r="Y37" i="48"/>
  <c r="Y47" i="48" s="1"/>
  <c r="Y63" i="48" s="1"/>
  <c r="Z37" i="48"/>
  <c r="Z47" i="48" s="1"/>
  <c r="Q37" i="48"/>
  <c r="Q47" i="48" s="1"/>
  <c r="Q63" i="48" s="1"/>
  <c r="M37" i="48"/>
  <c r="M47" i="48" s="1"/>
  <c r="P37" i="48"/>
  <c r="P47" i="48" s="1"/>
  <c r="L37" i="48"/>
  <c r="L47" i="48" s="1"/>
  <c r="O37" i="48"/>
  <c r="O47" i="48" s="1"/>
  <c r="N37" i="48"/>
  <c r="N47" i="48" s="1"/>
  <c r="R37" i="48"/>
  <c r="R47" i="48" s="1"/>
  <c r="H37" i="48"/>
  <c r="H47" i="48" s="1"/>
  <c r="E37" i="48"/>
  <c r="E47" i="48" s="1"/>
  <c r="I37" i="48"/>
  <c r="I47" i="48" s="1"/>
  <c r="I63" i="48" s="1"/>
  <c r="F37" i="48"/>
  <c r="F47" i="48" s="1"/>
  <c r="J37" i="48"/>
  <c r="J47" i="48" s="1"/>
  <c r="G37" i="48"/>
  <c r="G47" i="48" s="1"/>
  <c r="C38" i="48"/>
  <c r="D37" i="48"/>
  <c r="D47" i="48" s="1"/>
  <c r="A55" i="44"/>
  <c r="C53" i="48"/>
  <c r="U64" i="48" l="1"/>
  <c r="M64" i="48"/>
  <c r="E64" i="48"/>
  <c r="I62" i="48"/>
  <c r="X38" i="48"/>
  <c r="X48" i="48" s="1"/>
  <c r="T38" i="48"/>
  <c r="T48" i="48" s="1"/>
  <c r="Y38" i="48"/>
  <c r="V38" i="48"/>
  <c r="V48" i="48" s="1"/>
  <c r="W38" i="48"/>
  <c r="W48" i="48" s="1"/>
  <c r="U38" i="48"/>
  <c r="U48" i="48" s="1"/>
  <c r="Z38" i="48"/>
  <c r="Z48" i="48" s="1"/>
  <c r="Z63" i="48" s="1"/>
  <c r="P62" i="48"/>
  <c r="Q62" i="48"/>
  <c r="R38" i="48"/>
  <c r="R48" i="48" s="1"/>
  <c r="R63" i="48" s="1"/>
  <c r="N38" i="48"/>
  <c r="N48" i="48" s="1"/>
  <c r="Q38" i="48"/>
  <c r="Q48" i="48" s="1"/>
  <c r="M38" i="48"/>
  <c r="M48" i="48" s="1"/>
  <c r="P38" i="48"/>
  <c r="P48" i="48" s="1"/>
  <c r="O38" i="48"/>
  <c r="O48" i="48" s="1"/>
  <c r="L38" i="48"/>
  <c r="L48" i="48" s="1"/>
  <c r="F38" i="48"/>
  <c r="F48" i="48" s="1"/>
  <c r="J38" i="48"/>
  <c r="J48" i="48" s="1"/>
  <c r="J63" i="48" s="1"/>
  <c r="G38" i="48"/>
  <c r="G48" i="48" s="1"/>
  <c r="H38" i="48"/>
  <c r="H48" i="48" s="1"/>
  <c r="E38" i="48"/>
  <c r="E48" i="48" s="1"/>
  <c r="I38" i="48"/>
  <c r="I48" i="48" s="1"/>
  <c r="D38" i="48"/>
  <c r="D48" i="48" s="1"/>
  <c r="C54" i="48"/>
  <c r="C55" i="48" s="1"/>
  <c r="C56" i="48" s="1"/>
  <c r="C57" i="48" s="1"/>
  <c r="C58" i="48" s="1"/>
  <c r="D27" i="43"/>
  <c r="D26" i="43"/>
  <c r="B16" i="49"/>
  <c r="B11" i="49"/>
  <c r="B7" i="49"/>
  <c r="T73" i="48" l="1" a="1"/>
  <c r="T73" i="48" s="1"/>
  <c r="L73" i="48" a="1"/>
  <c r="L73" i="48" s="1"/>
  <c r="T79" i="48" a="1"/>
  <c r="T79" i="48" s="1"/>
  <c r="L79" i="48" a="1"/>
  <c r="L79" i="48" s="1"/>
  <c r="U79" i="48" a="1"/>
  <c r="U79" i="48" s="1"/>
  <c r="M73" i="48" a="1"/>
  <c r="M73" i="48" s="1"/>
  <c r="U73" i="48" a="1"/>
  <c r="U73" i="48" s="1"/>
  <c r="M79" i="48" a="1"/>
  <c r="M79" i="48" s="1"/>
  <c r="N79" i="48" a="1"/>
  <c r="N79" i="48" s="1"/>
  <c r="N73" i="48" a="1"/>
  <c r="N73" i="48" s="1"/>
  <c r="V79" i="48" a="1"/>
  <c r="V79" i="48" s="1"/>
  <c r="V73" i="48" a="1"/>
  <c r="V73" i="48" s="1"/>
  <c r="O79" i="48" a="1"/>
  <c r="O79" i="48" s="1"/>
  <c r="O73" i="48" a="1"/>
  <c r="O73" i="48" s="1"/>
  <c r="W73" i="48" a="1"/>
  <c r="W73" i="48" s="1"/>
  <c r="W79" i="48" a="1"/>
  <c r="W79" i="48" s="1"/>
  <c r="X79" i="48" a="1"/>
  <c r="X79" i="48" s="1"/>
  <c r="X73" i="48" a="1"/>
  <c r="X73" i="48" s="1"/>
  <c r="P73" i="48" a="1"/>
  <c r="P73" i="48" s="1"/>
  <c r="P79" i="48" a="1"/>
  <c r="P79" i="48" s="1"/>
  <c r="Q73" i="48" a="1"/>
  <c r="Q73" i="48" s="1"/>
  <c r="Y79" i="48" a="1"/>
  <c r="Y79" i="48" s="1"/>
  <c r="Y73" i="48" a="1"/>
  <c r="Y73" i="48" s="1"/>
  <c r="Q79" i="48" a="1"/>
  <c r="Q79" i="48" s="1"/>
  <c r="Z79" i="48" a="1"/>
  <c r="Z79" i="48" s="1"/>
  <c r="D73" i="48" a="1"/>
  <c r="D73" i="48" s="1"/>
  <c r="R79" i="48" a="1"/>
  <c r="R79" i="48" s="1"/>
  <c r="R73" i="48" a="1"/>
  <c r="R73" i="48" s="1"/>
  <c r="Z73" i="48" a="1"/>
  <c r="Z73" i="48" s="1"/>
  <c r="E73" i="48" a="1"/>
  <c r="E73" i="48" s="1"/>
  <c r="D79" i="48" a="1"/>
  <c r="D79" i="48" s="1"/>
  <c r="E79" i="48" a="1"/>
  <c r="E79" i="48" s="1"/>
  <c r="F79" i="48" a="1"/>
  <c r="F79" i="48" s="1"/>
  <c r="F73" i="48" a="1"/>
  <c r="F73" i="48" s="1"/>
  <c r="G79" i="48" a="1"/>
  <c r="G79" i="48" s="1"/>
  <c r="G73" i="48" a="1"/>
  <c r="G73" i="48" s="1"/>
  <c r="H73" i="48" a="1"/>
  <c r="H73" i="48" s="1"/>
  <c r="H79" i="48" a="1"/>
  <c r="H79" i="48" s="1"/>
  <c r="I73" i="48" a="1"/>
  <c r="I73" i="48" s="1"/>
  <c r="I79" i="48" a="1"/>
  <c r="I79" i="48" s="1"/>
  <c r="J79" i="48" a="1"/>
  <c r="J79" i="48" s="1"/>
  <c r="J73" i="48" a="1"/>
  <c r="J73" i="48" s="1"/>
  <c r="Z62" i="48"/>
  <c r="Z64" i="48"/>
  <c r="J62" i="48"/>
  <c r="Y48" i="48"/>
  <c r="Y62" i="48"/>
  <c r="J64" i="48"/>
  <c r="F64" i="48"/>
  <c r="Q64" i="48"/>
  <c r="V64" i="48"/>
  <c r="G64" i="48"/>
  <c r="P64" i="48"/>
  <c r="I64" i="48"/>
  <c r="Y64" i="48"/>
  <c r="W64" i="48"/>
  <c r="N64" i="48"/>
  <c r="H64" i="48"/>
  <c r="R64" i="48"/>
  <c r="X64" i="48"/>
  <c r="O64" i="48"/>
  <c r="R62" i="48"/>
  <c r="D64" i="48"/>
  <c r="G78" i="48" l="1"/>
  <c r="G92" i="48" s="1"/>
  <c r="G80" i="48"/>
  <c r="R78" i="48"/>
  <c r="R80" i="48"/>
  <c r="P89" i="48"/>
  <c r="V80" i="48"/>
  <c r="V78" i="48"/>
  <c r="L89" i="48"/>
  <c r="G89" i="48"/>
  <c r="G91" i="48"/>
  <c r="R89" i="48"/>
  <c r="P80" i="48"/>
  <c r="P78" i="48"/>
  <c r="V89" i="48"/>
  <c r="T89" i="48"/>
  <c r="J80" i="48"/>
  <c r="J78" i="48"/>
  <c r="F78" i="48"/>
  <c r="F92" i="48" s="1"/>
  <c r="F80" i="48"/>
  <c r="D78" i="48"/>
  <c r="D92" i="48" s="1"/>
  <c r="D80" i="48"/>
  <c r="X78" i="48"/>
  <c r="X80" i="48"/>
  <c r="N78" i="48"/>
  <c r="N80" i="48"/>
  <c r="L78" i="48"/>
  <c r="L80" i="48"/>
  <c r="J89" i="48"/>
  <c r="J91" i="48"/>
  <c r="F89" i="48"/>
  <c r="F91" i="48"/>
  <c r="Z89" i="48"/>
  <c r="X89" i="48"/>
  <c r="N89" i="48"/>
  <c r="T78" i="48"/>
  <c r="T80" i="48"/>
  <c r="I89" i="48"/>
  <c r="I91" i="48"/>
  <c r="E91" i="48"/>
  <c r="E89" i="48"/>
  <c r="Q89" i="48"/>
  <c r="W89" i="48"/>
  <c r="M89" i="48"/>
  <c r="I78" i="48"/>
  <c r="I80" i="48"/>
  <c r="D89" i="48"/>
  <c r="D91" i="48"/>
  <c r="Y78" i="48"/>
  <c r="Y80" i="48"/>
  <c r="W80" i="48"/>
  <c r="W78" i="48"/>
  <c r="U78" i="48"/>
  <c r="U80" i="48"/>
  <c r="H91" i="48"/>
  <c r="H89" i="48"/>
  <c r="E80" i="48"/>
  <c r="E78" i="48"/>
  <c r="E92" i="48" s="1"/>
  <c r="Y89" i="48"/>
  <c r="O80" i="48"/>
  <c r="O78" i="48"/>
  <c r="M80" i="48"/>
  <c r="M78" i="48"/>
  <c r="H78" i="48"/>
  <c r="H80" i="48"/>
  <c r="Z78" i="48"/>
  <c r="Z80" i="48"/>
  <c r="Q78" i="48"/>
  <c r="Q80" i="48"/>
  <c r="O89" i="48"/>
  <c r="U89" i="48"/>
  <c r="G107" i="48" l="1"/>
  <c r="E107" i="48"/>
  <c r="D107" i="48"/>
  <c r="Y83" i="48"/>
  <c r="Y81" i="48"/>
  <c r="M83" i="48"/>
  <c r="M81" i="48"/>
  <c r="Q83" i="48"/>
  <c r="Q81" i="48"/>
  <c r="O81" i="48"/>
  <c r="O83" i="48"/>
  <c r="U81" i="48"/>
  <c r="U83" i="48"/>
  <c r="Z83" i="48"/>
  <c r="Z81" i="48"/>
  <c r="I92" i="48"/>
  <c r="L83" i="48"/>
  <c r="L81" i="48"/>
  <c r="E122" i="48"/>
  <c r="E106" i="48"/>
  <c r="W83" i="48"/>
  <c r="W81" i="48"/>
  <c r="F106" i="48"/>
  <c r="F122" i="48"/>
  <c r="P81" i="48"/>
  <c r="P83" i="48"/>
  <c r="V83" i="48"/>
  <c r="V81" i="48"/>
  <c r="N83" i="48"/>
  <c r="N81" i="48"/>
  <c r="J92" i="48"/>
  <c r="J107" i="48" s="1"/>
  <c r="T83" i="48"/>
  <c r="T81" i="48"/>
  <c r="X83" i="48"/>
  <c r="X81" i="48"/>
  <c r="R83" i="48"/>
  <c r="R81" i="48"/>
  <c r="H92" i="48"/>
  <c r="F107" i="48"/>
  <c r="D122" i="48"/>
  <c r="D106" i="48"/>
  <c r="G122" i="48"/>
  <c r="G106" i="48"/>
  <c r="E111" i="48" l="1"/>
  <c r="G111" i="48"/>
  <c r="D111" i="48"/>
  <c r="T102" i="48"/>
  <c r="V85" i="48"/>
  <c r="V88" i="48" s="1"/>
  <c r="V82" i="48"/>
  <c r="I122" i="48"/>
  <c r="I106" i="48"/>
  <c r="Q82" i="48"/>
  <c r="Q85" i="48"/>
  <c r="Q88" i="48" s="1"/>
  <c r="H122" i="48"/>
  <c r="H106" i="48"/>
  <c r="V102" i="48"/>
  <c r="W85" i="48"/>
  <c r="W88" i="48" s="1"/>
  <c r="W82" i="48"/>
  <c r="W102" i="48"/>
  <c r="Z82" i="48"/>
  <c r="Z85" i="48"/>
  <c r="Z88" i="48" s="1"/>
  <c r="M85" i="48"/>
  <c r="M88" i="48" s="1"/>
  <c r="M82" i="48"/>
  <c r="R82" i="48"/>
  <c r="R85" i="48"/>
  <c r="R88" i="48" s="1"/>
  <c r="P85" i="48"/>
  <c r="P88" i="48" s="1"/>
  <c r="P82" i="48"/>
  <c r="Z102" i="48"/>
  <c r="J122" i="48"/>
  <c r="J106" i="48"/>
  <c r="J111" i="48" s="1"/>
  <c r="U102" i="48"/>
  <c r="X85" i="48"/>
  <c r="X88" i="48" s="1"/>
  <c r="X82" i="48"/>
  <c r="F111" i="48"/>
  <c r="L82" i="48"/>
  <c r="L85" i="48"/>
  <c r="L88" i="48" s="1"/>
  <c r="U82" i="48"/>
  <c r="U85" i="48"/>
  <c r="U88" i="48" s="1"/>
  <c r="Y85" i="48"/>
  <c r="Y88" i="48" s="1"/>
  <c r="Y82" i="48"/>
  <c r="H107" i="48"/>
  <c r="X102" i="48"/>
  <c r="N85" i="48"/>
  <c r="N88" i="48" s="1"/>
  <c r="N82" i="48"/>
  <c r="Y102" i="48"/>
  <c r="T82" i="48"/>
  <c r="T85" i="48"/>
  <c r="T88" i="48" s="1"/>
  <c r="I107" i="48"/>
  <c r="O82" i="48"/>
  <c r="O85" i="48"/>
  <c r="O88" i="48" s="1"/>
  <c r="N65" i="48" l="1" a="1"/>
  <c r="N65" i="48" s="1"/>
  <c r="N93" i="48" s="1"/>
  <c r="N112" i="48" s="1"/>
  <c r="H111" i="48"/>
  <c r="U90" i="48"/>
  <c r="U91" i="48"/>
  <c r="Z90" i="48"/>
  <c r="Z91" i="48"/>
  <c r="O92" i="48"/>
  <c r="T90" i="48"/>
  <c r="T91" i="48"/>
  <c r="U92" i="48"/>
  <c r="R92" i="48"/>
  <c r="Z92" i="48"/>
  <c r="V92" i="48"/>
  <c r="T92" i="48"/>
  <c r="Y92" i="48"/>
  <c r="W92" i="48"/>
  <c r="V90" i="48"/>
  <c r="V91" i="48"/>
  <c r="N92" i="48"/>
  <c r="Y90" i="48"/>
  <c r="Y91" i="48"/>
  <c r="X92" i="48"/>
  <c r="P92" i="48"/>
  <c r="W90" i="48"/>
  <c r="W91" i="48"/>
  <c r="X90" i="48"/>
  <c r="X91" i="48"/>
  <c r="M92" i="48"/>
  <c r="Q92" i="48"/>
  <c r="L92" i="48"/>
  <c r="I111" i="48"/>
  <c r="D36" i="43"/>
  <c r="D37" i="43"/>
  <c r="X65" i="48" l="1" a="1"/>
  <c r="X65" i="48" s="1"/>
  <c r="X93" i="48" s="1"/>
  <c r="X112" i="48" s="1"/>
  <c r="G65" i="48" a="1"/>
  <c r="G65" i="48" s="1"/>
  <c r="G93" i="48" s="1"/>
  <c r="G112" i="48" s="1"/>
  <c r="Z65" i="48" a="1"/>
  <c r="Z65" i="48" s="1"/>
  <c r="Z93" i="48" s="1"/>
  <c r="Z112" i="48" s="1"/>
  <c r="L65" i="48"/>
  <c r="L93" i="48" s="1"/>
  <c r="L112" i="48" s="1"/>
  <c r="E65" i="48" a="1"/>
  <c r="E65" i="48" s="1"/>
  <c r="E93" i="48" s="1"/>
  <c r="E112" i="48" s="1"/>
  <c r="O65" i="48" a="1"/>
  <c r="O65" i="48" s="1"/>
  <c r="O93" i="48" s="1"/>
  <c r="O112" i="48" s="1"/>
  <c r="P65" i="48" a="1"/>
  <c r="P65" i="48" s="1"/>
  <c r="P93" i="48" s="1"/>
  <c r="P112" i="48" s="1"/>
  <c r="W65" i="48" a="1"/>
  <c r="W65" i="48" s="1"/>
  <c r="W93" i="48" s="1"/>
  <c r="W112" i="48" s="1"/>
  <c r="T65" i="48" a="1"/>
  <c r="T65" i="48" s="1"/>
  <c r="T93" i="48" s="1"/>
  <c r="T112" i="48" s="1"/>
  <c r="D65" i="48" a="1"/>
  <c r="D65" i="48" s="1"/>
  <c r="D93" i="48" s="1"/>
  <c r="D112" i="48" s="1"/>
  <c r="F65" i="48" a="1"/>
  <c r="F65" i="48" s="1"/>
  <c r="F93" i="48" s="1"/>
  <c r="F112" i="48" s="1"/>
  <c r="V65" i="48" a="1"/>
  <c r="V65" i="48" s="1"/>
  <c r="V93" i="48" s="1"/>
  <c r="V112" i="48" s="1"/>
  <c r="J65" i="48"/>
  <c r="J93" i="48" s="1"/>
  <c r="J112" i="48" s="1"/>
  <c r="R65" i="48" a="1"/>
  <c r="R65" i="48" s="1"/>
  <c r="R93" i="48" s="1"/>
  <c r="R112" i="48" s="1"/>
  <c r="U65" i="48" a="1"/>
  <c r="U65" i="48" s="1"/>
  <c r="U93" i="48" s="1"/>
  <c r="U112" i="48" s="1"/>
  <c r="I65" i="48" a="1"/>
  <c r="I65" i="48" s="1"/>
  <c r="I93" i="48" s="1"/>
  <c r="I112" i="48" s="1"/>
  <c r="Q65" i="48" a="1"/>
  <c r="Q65" i="48" s="1"/>
  <c r="Q93" i="48" s="1"/>
  <c r="Q112" i="48" s="1"/>
  <c r="M65" i="48" a="1"/>
  <c r="M65" i="48" s="1"/>
  <c r="M93" i="48" s="1"/>
  <c r="M112" i="48" s="1"/>
  <c r="Y106" i="48"/>
  <c r="H65" i="48" a="1"/>
  <c r="H65" i="48" s="1"/>
  <c r="H93" i="48" s="1"/>
  <c r="H112" i="48" s="1"/>
  <c r="Y65" i="48" a="1"/>
  <c r="Y65" i="48" s="1"/>
  <c r="Y93" i="48" s="1"/>
  <c r="Y112" i="48" s="1"/>
  <c r="T106" i="48"/>
  <c r="Z106" i="48"/>
  <c r="W122" i="48"/>
  <c r="W107" i="48"/>
  <c r="M107" i="48"/>
  <c r="W106" i="48"/>
  <c r="Z122" i="48"/>
  <c r="Z107" i="48"/>
  <c r="Y122" i="48"/>
  <c r="Y107" i="48"/>
  <c r="Q107" i="48"/>
  <c r="X122" i="48"/>
  <c r="X107" i="48"/>
  <c r="V106" i="48"/>
  <c r="V122" i="48"/>
  <c r="V107" i="48"/>
  <c r="U122" i="48"/>
  <c r="U107" i="48"/>
  <c r="L107" i="48"/>
  <c r="N107" i="48"/>
  <c r="P107" i="48"/>
  <c r="U106" i="48"/>
  <c r="X106" i="48"/>
  <c r="T122" i="48"/>
  <c r="T107" i="48"/>
  <c r="R107" i="48"/>
  <c r="O107" i="48"/>
  <c r="D18" i="43"/>
  <c r="D17" i="43"/>
  <c r="D21" i="43" s="1"/>
  <c r="Y111" i="48" l="1"/>
  <c r="T111" i="48"/>
  <c r="Z111" i="48"/>
  <c r="W111" i="48"/>
  <c r="U111" i="48"/>
  <c r="V111" i="48"/>
  <c r="X111" i="48"/>
  <c r="D22" i="43"/>
  <c r="D34" i="43" l="1"/>
  <c r="D25" i="43"/>
  <c r="D23" i="43"/>
  <c r="D24" i="43"/>
  <c r="D35" i="43" l="1"/>
  <c r="M84" i="48"/>
  <c r="P84" i="48"/>
  <c r="N84" i="48"/>
  <c r="R84" i="48"/>
  <c r="Q84" i="48"/>
  <c r="L84" i="48"/>
  <c r="O84" i="48"/>
  <c r="L86" i="48"/>
  <c r="M86" i="48"/>
  <c r="N86" i="48"/>
  <c r="O86" i="48"/>
  <c r="P86" i="48"/>
  <c r="Q86" i="48"/>
  <c r="R86" i="48"/>
  <c r="D12" i="43"/>
  <c r="D20" i="43" s="1"/>
  <c r="D11" i="43"/>
  <c r="D19" i="43" s="1"/>
  <c r="L90" i="48" l="1"/>
  <c r="L106" i="48" s="1"/>
  <c r="L111" i="48" s="1"/>
  <c r="L91" i="48"/>
  <c r="L122" i="48" s="1"/>
  <c r="R90" i="48"/>
  <c r="R106" i="48" s="1"/>
  <c r="R111" i="48" s="1"/>
  <c r="R91" i="48"/>
  <c r="R122" i="48" s="1"/>
  <c r="M90" i="48"/>
  <c r="M106" i="48" s="1"/>
  <c r="M111" i="48" s="1"/>
  <c r="M91" i="48"/>
  <c r="M122" i="48" s="1"/>
  <c r="Q90" i="48"/>
  <c r="Q106" i="48" s="1"/>
  <c r="Q111" i="48" s="1"/>
  <c r="Q91" i="48"/>
  <c r="Q122" i="48" s="1"/>
  <c r="N90" i="48"/>
  <c r="N106" i="48" s="1"/>
  <c r="N111" i="48" s="1"/>
  <c r="N91" i="48"/>
  <c r="N122" i="48" s="1"/>
  <c r="P90" i="48"/>
  <c r="P106" i="48" s="1"/>
  <c r="P111" i="48" s="1"/>
  <c r="P91" i="48"/>
  <c r="P122" i="48" s="1"/>
  <c r="W101" i="48" a="1"/>
  <c r="W101" i="48" s="1"/>
  <c r="N101" i="48" a="1"/>
  <c r="N101" i="48" s="1"/>
  <c r="E101" i="48" a="1"/>
  <c r="E101" i="48" s="1"/>
  <c r="R100" i="48" a="1"/>
  <c r="R100" i="48" s="1"/>
  <c r="I100" i="48" a="1"/>
  <c r="I100" i="48" s="1"/>
  <c r="V101" i="48" a="1"/>
  <c r="V101" i="48" s="1"/>
  <c r="M101" i="48" a="1"/>
  <c r="M101" i="48" s="1"/>
  <c r="Z100" i="48" a="1"/>
  <c r="Z100" i="48" s="1"/>
  <c r="Q100" i="48" a="1"/>
  <c r="Q100" i="48" s="1"/>
  <c r="H100" i="48" a="1"/>
  <c r="H100" i="48" s="1"/>
  <c r="U101" i="48" a="1"/>
  <c r="U101" i="48" s="1"/>
  <c r="L101" i="48" a="1"/>
  <c r="L101" i="48" s="1"/>
  <c r="Y100" i="48" a="1"/>
  <c r="Y100" i="48" s="1"/>
  <c r="P100" i="48" a="1"/>
  <c r="P100" i="48" s="1"/>
  <c r="G100" i="48" a="1"/>
  <c r="G100" i="48" s="1"/>
  <c r="T101" i="48" a="1"/>
  <c r="T101" i="48" s="1"/>
  <c r="J101" i="48" a="1"/>
  <c r="J101" i="48" s="1"/>
  <c r="X100" i="48" a="1"/>
  <c r="X100" i="48" s="1"/>
  <c r="O100" i="48" a="1"/>
  <c r="O100" i="48" s="1"/>
  <c r="F100" i="48" a="1"/>
  <c r="F100" i="48" s="1"/>
  <c r="R101" i="48" a="1"/>
  <c r="R101" i="48" s="1"/>
  <c r="I101" i="48" a="1"/>
  <c r="I101" i="48" s="1"/>
  <c r="W100" i="48" a="1"/>
  <c r="W100" i="48" s="1"/>
  <c r="N100" i="48" a="1"/>
  <c r="N100" i="48" s="1"/>
  <c r="E100" i="48" a="1"/>
  <c r="E100" i="48" s="1"/>
  <c r="Z101" i="48" a="1"/>
  <c r="Z101" i="48" s="1"/>
  <c r="Q101" i="48" a="1"/>
  <c r="Q101" i="48" s="1"/>
  <c r="H101" i="48" a="1"/>
  <c r="H101" i="48" s="1"/>
  <c r="V100" i="48" a="1"/>
  <c r="V100" i="48" s="1"/>
  <c r="M100" i="48" a="1"/>
  <c r="M100" i="48" s="1"/>
  <c r="Y101" i="48" a="1"/>
  <c r="Y101" i="48" s="1"/>
  <c r="P101" i="48" a="1"/>
  <c r="P101" i="48" s="1"/>
  <c r="G101" i="48" a="1"/>
  <c r="G101" i="48" s="1"/>
  <c r="U100" i="48" a="1"/>
  <c r="U100" i="48" s="1"/>
  <c r="L100" i="48" a="1"/>
  <c r="L100" i="48" s="1"/>
  <c r="X101" i="48" a="1"/>
  <c r="X101" i="48" s="1"/>
  <c r="O101" i="48" a="1"/>
  <c r="O101" i="48" s="1"/>
  <c r="F101" i="48" a="1"/>
  <c r="F101" i="48" s="1"/>
  <c r="T100" i="48" a="1"/>
  <c r="T100" i="48" s="1"/>
  <c r="J100" i="48" a="1"/>
  <c r="J100" i="48" s="1"/>
  <c r="D101" i="48" a="1"/>
  <c r="D101" i="48" s="1"/>
  <c r="D100" i="48" a="1"/>
  <c r="D100" i="48" s="1"/>
  <c r="O90" i="48"/>
  <c r="O106" i="48" s="1"/>
  <c r="O111" i="48" s="1"/>
  <c r="O91" i="48"/>
  <c r="O122" i="48" s="1"/>
  <c r="B41" i="44"/>
  <c r="B40" i="44"/>
  <c r="Y104" i="48" l="1"/>
  <c r="Q104" i="48"/>
  <c r="I104" i="48"/>
  <c r="Z104" i="48"/>
  <c r="P104" i="48"/>
  <c r="G104" i="48"/>
  <c r="X104" i="48"/>
  <c r="H104" i="48"/>
  <c r="F104" i="48"/>
  <c r="R104" i="48"/>
  <c r="D104" i="48"/>
  <c r="O104" i="48"/>
  <c r="L104" i="48"/>
  <c r="U104" i="48"/>
  <c r="E104" i="48"/>
  <c r="N104" i="48"/>
  <c r="J104" i="48"/>
  <c r="W104" i="48"/>
  <c r="T104" i="48"/>
  <c r="M104" i="48"/>
  <c r="V104" i="48"/>
  <c r="A54" i="44"/>
  <c r="A53" i="44"/>
  <c r="A52" i="44"/>
  <c r="B49" i="44"/>
  <c r="C84" i="44"/>
  <c r="B45" i="44"/>
  <c r="B48" i="44"/>
  <c r="C85" i="44"/>
  <c r="U99" i="48" l="1" a="1"/>
  <c r="U99" i="48" s="1"/>
  <c r="U105" i="48" s="1"/>
  <c r="U117" i="48" s="1"/>
  <c r="H99" i="48" a="1"/>
  <c r="H99" i="48" s="1"/>
  <c r="H105" i="48" s="1"/>
  <c r="H117" i="48" s="1"/>
  <c r="O99" i="48" a="1"/>
  <c r="O99" i="48" s="1"/>
  <c r="O105" i="48" s="1"/>
  <c r="O117" i="48" s="1"/>
  <c r="L99" i="48" a="1"/>
  <c r="L99" i="48" s="1"/>
  <c r="L105" i="48" s="1"/>
  <c r="L117" i="48" s="1"/>
  <c r="Y99" i="48" a="1"/>
  <c r="Y99" i="48" s="1"/>
  <c r="Y105" i="48" s="1"/>
  <c r="Y117" i="48" s="1"/>
  <c r="G99" i="48" a="1"/>
  <c r="G99" i="48" s="1"/>
  <c r="G105" i="48" s="1"/>
  <c r="G117" i="48" s="1"/>
  <c r="T99" i="48" a="1"/>
  <c r="T99" i="48" s="1"/>
  <c r="T105" i="48" s="1"/>
  <c r="T117" i="48" s="1"/>
  <c r="P99" i="48" a="1"/>
  <c r="P99" i="48" s="1"/>
  <c r="P105" i="48" s="1"/>
  <c r="P117" i="48" s="1"/>
  <c r="X99" i="48" a="1"/>
  <c r="X99" i="48" s="1"/>
  <c r="X105" i="48" s="1"/>
  <c r="X117" i="48" s="1"/>
  <c r="W99" i="48" a="1"/>
  <c r="W99" i="48" s="1"/>
  <c r="W105" i="48" s="1"/>
  <c r="W117" i="48" s="1"/>
  <c r="J99" i="48" a="1"/>
  <c r="J99" i="48" s="1"/>
  <c r="J105" i="48" s="1"/>
  <c r="J117" i="48" s="1"/>
  <c r="F99" i="48" a="1"/>
  <c r="F99" i="48" s="1"/>
  <c r="F105" i="48" s="1"/>
  <c r="F117" i="48" s="1"/>
  <c r="N99" i="48" a="1"/>
  <c r="N99" i="48" s="1"/>
  <c r="N105" i="48" s="1"/>
  <c r="N117" i="48" s="1"/>
  <c r="R99" i="48" a="1"/>
  <c r="R99" i="48" s="1"/>
  <c r="R105" i="48" s="1"/>
  <c r="R117" i="48" s="1"/>
  <c r="D99" i="48" a="1"/>
  <c r="D99" i="48" s="1"/>
  <c r="D105" i="48" s="1"/>
  <c r="D117" i="48" s="1"/>
  <c r="E99" i="48" a="1"/>
  <c r="E99" i="48" s="1"/>
  <c r="E105" i="48" s="1"/>
  <c r="E117" i="48" s="1"/>
  <c r="I99" i="48" a="1"/>
  <c r="I99" i="48" s="1"/>
  <c r="I105" i="48" s="1"/>
  <c r="I117" i="48" s="1"/>
  <c r="V99" i="48" a="1"/>
  <c r="V99" i="48" s="1"/>
  <c r="V105" i="48" s="1"/>
  <c r="V117" i="48" s="1"/>
  <c r="Z99" i="48" a="1"/>
  <c r="Z99" i="48" s="1"/>
  <c r="Z105" i="48" s="1"/>
  <c r="Z117" i="48" s="1"/>
  <c r="M99" i="48" a="1"/>
  <c r="M99" i="48" s="1"/>
  <c r="M105" i="48" s="1"/>
  <c r="M117" i="48" s="1"/>
  <c r="Q99" i="48" a="1"/>
  <c r="Q99" i="48" s="1"/>
  <c r="Q105" i="48" s="1"/>
  <c r="Q117" i="48" s="1"/>
  <c r="B55" i="44"/>
  <c r="B54" i="44"/>
  <c r="B71" i="44"/>
  <c r="B12" i="49" s="1"/>
  <c r="B66" i="44" l="1"/>
  <c r="B13" i="49" s="1"/>
  <c r="B77" i="44"/>
  <c r="B15" i="49" s="1"/>
  <c r="D15" i="43"/>
  <c r="D16" i="43" l="1"/>
  <c r="B78" i="44"/>
  <c r="B79" i="44"/>
  <c r="B81" i="44" s="1"/>
  <c r="B68" i="44"/>
  <c r="B69" i="44"/>
  <c r="B11" i="44"/>
  <c r="B12" i="44"/>
  <c r="B46" i="44" s="1"/>
  <c r="B53" i="44" s="1"/>
  <c r="B30" i="44"/>
  <c r="B62" i="44"/>
  <c r="B63" i="44" s="1"/>
  <c r="C86" i="44" l="1"/>
  <c r="C87" i="44"/>
  <c r="B31" i="44"/>
  <c r="B44" i="44" s="1"/>
  <c r="B52" i="44" s="1"/>
  <c r="B80" i="44"/>
  <c r="M32" i="1" l="1"/>
  <c r="J23" i="1"/>
  <c r="G24" i="1"/>
  <c r="H24" i="1"/>
  <c r="J25" i="1"/>
  <c r="G26" i="1"/>
  <c r="H26" i="1"/>
  <c r="J27" i="1"/>
  <c r="E28" i="1"/>
  <c r="E29" i="1"/>
  <c r="E30" i="1"/>
  <c r="F30" i="1" s="1"/>
  <c r="H30" i="1"/>
  <c r="E31" i="1"/>
  <c r="F31" i="1" s="1"/>
  <c r="H31" i="1"/>
  <c r="T98" i="48" l="1" a="1"/>
  <c r="T98" i="48" s="1"/>
  <c r="D97" i="48" a="1"/>
  <c r="D97" i="48" s="1"/>
  <c r="N70" i="48" a="1"/>
  <c r="N70" i="48" s="1"/>
  <c r="N96" i="48" s="1"/>
  <c r="Z66" i="48" a="1"/>
  <c r="Z66" i="48" s="1"/>
  <c r="Z94" i="48" s="1"/>
  <c r="Z113" i="48" s="1"/>
  <c r="N98" i="48" a="1"/>
  <c r="N98" i="48" s="1"/>
  <c r="E67" i="48" a="1"/>
  <c r="E67" i="48" s="1"/>
  <c r="E95" i="48" s="1"/>
  <c r="E114" i="48" s="1"/>
  <c r="W70" i="48" a="1"/>
  <c r="W70" i="48" s="1"/>
  <c r="W96" i="48" s="1"/>
  <c r="G68" i="48" a="1"/>
  <c r="G68" i="48" s="1"/>
  <c r="V68" i="48" a="1"/>
  <c r="V68" i="48" s="1"/>
  <c r="V116" i="48" s="1"/>
  <c r="H70" i="48" a="1"/>
  <c r="H70" i="48" s="1"/>
  <c r="H96" i="48" s="1"/>
  <c r="X68" i="48" a="1"/>
  <c r="X68" i="48" s="1"/>
  <c r="X116" i="48" s="1"/>
  <c r="I70" i="48" a="1"/>
  <c r="I70" i="48" s="1"/>
  <c r="I96" i="48" s="1"/>
  <c r="Y68" i="48" a="1"/>
  <c r="Y68" i="48" s="1"/>
  <c r="Y116" i="48" s="1"/>
  <c r="J70" i="48" a="1"/>
  <c r="J70" i="48" s="1"/>
  <c r="J96" i="48" s="1"/>
  <c r="Q68" i="48" a="1"/>
  <c r="Q68" i="48" s="1"/>
  <c r="Q116" i="48" s="1"/>
  <c r="T66" i="48" a="1"/>
  <c r="T66" i="48" s="1"/>
  <c r="T94" i="48" s="1"/>
  <c r="T113" i="48" s="1"/>
  <c r="D68" i="48" a="1"/>
  <c r="D68" i="48" s="1"/>
  <c r="U67" i="48" a="1"/>
  <c r="U67" i="48" s="1"/>
  <c r="U95" i="48" s="1"/>
  <c r="U114" i="48" s="1"/>
  <c r="E70" i="48" a="1"/>
  <c r="E70" i="48" s="1"/>
  <c r="E96" i="48" s="1"/>
  <c r="O70" i="48" a="1"/>
  <c r="O70" i="48" s="1"/>
  <c r="O96" i="48" s="1"/>
  <c r="G67" i="48" a="1"/>
  <c r="G67" i="48" s="1"/>
  <c r="G95" i="48" s="1"/>
  <c r="G114" i="48" s="1"/>
  <c r="W66" i="48" a="1"/>
  <c r="W66" i="48" s="1"/>
  <c r="W94" i="48" s="1"/>
  <c r="W113" i="48" s="1"/>
  <c r="H66" i="48" a="1"/>
  <c r="H66" i="48" s="1"/>
  <c r="H94" i="48" s="1"/>
  <c r="H113" i="48" s="1"/>
  <c r="P68" i="48" a="1"/>
  <c r="P68" i="48" s="1"/>
  <c r="P116" i="48" s="1"/>
  <c r="I66" i="48" a="1"/>
  <c r="I66" i="48" s="1"/>
  <c r="I94" i="48" s="1"/>
  <c r="I113" i="48" s="1"/>
  <c r="Q67" i="48" a="1"/>
  <c r="Q67" i="48" s="1"/>
  <c r="Q95" i="48" s="1"/>
  <c r="Q114" i="48" s="1"/>
  <c r="J69" i="48" a="1"/>
  <c r="J69" i="48" s="1"/>
  <c r="Z67" i="48" a="1"/>
  <c r="Z67" i="48" s="1"/>
  <c r="Z95" i="48" s="1"/>
  <c r="Z114" i="48" s="1"/>
  <c r="L66" i="48" a="1"/>
  <c r="L66" i="48" s="1"/>
  <c r="L94" i="48" s="1"/>
  <c r="L113" i="48" s="1"/>
  <c r="R66" i="48" a="1"/>
  <c r="R66" i="48" s="1"/>
  <c r="R94" i="48" s="1"/>
  <c r="R113" i="48" s="1"/>
  <c r="N68" i="48" a="1"/>
  <c r="N68" i="48" s="1"/>
  <c r="N116" i="48" s="1"/>
  <c r="E98" i="48" a="1"/>
  <c r="E98" i="48" s="1"/>
  <c r="W68" i="48" a="1"/>
  <c r="W68" i="48" s="1"/>
  <c r="W116" i="48" s="1"/>
  <c r="F69" i="48" a="1"/>
  <c r="F69" i="48" s="1"/>
  <c r="O68" i="48" a="1"/>
  <c r="O68" i="48" s="1"/>
  <c r="O116" i="48" s="1"/>
  <c r="H69" i="48" a="1"/>
  <c r="H69" i="48" s="1"/>
  <c r="X98" i="48" a="1"/>
  <c r="X98" i="48" s="1"/>
  <c r="I69" i="48" a="1"/>
  <c r="I69" i="48" s="1"/>
  <c r="Y98" i="48" a="1"/>
  <c r="Y98" i="48" s="1"/>
  <c r="J68" i="48" a="1"/>
  <c r="J68" i="48" s="1"/>
  <c r="Z70" i="48" a="1"/>
  <c r="Z70" i="48" s="1"/>
  <c r="Z96" i="48" s="1"/>
  <c r="T67" i="48" a="1"/>
  <c r="T67" i="48" s="1"/>
  <c r="T95" i="48" s="1"/>
  <c r="T114" i="48" s="1"/>
  <c r="D67" i="48" a="1"/>
  <c r="D67" i="48" s="1"/>
  <c r="D95" i="48" s="1"/>
  <c r="D114" i="48" s="1"/>
  <c r="L67" i="48" a="1"/>
  <c r="L67" i="48" s="1"/>
  <c r="L95" i="48" s="1"/>
  <c r="L114" i="48" s="1"/>
  <c r="R67" i="48" a="1"/>
  <c r="R67" i="48" s="1"/>
  <c r="R95" i="48" s="1"/>
  <c r="R114" i="48" s="1"/>
  <c r="O98" i="48" a="1"/>
  <c r="O98" i="48" s="1"/>
  <c r="F68" i="48" a="1"/>
  <c r="F68" i="48" s="1"/>
  <c r="V98" i="48" a="1"/>
  <c r="V98" i="48" s="1"/>
  <c r="H98" i="48" a="1"/>
  <c r="H98" i="48" s="1"/>
  <c r="P98" i="48" a="1"/>
  <c r="P98" i="48" s="1"/>
  <c r="I98" i="48" a="1"/>
  <c r="I98" i="48" s="1"/>
  <c r="Q70" i="48" a="1"/>
  <c r="Q70" i="48" s="1"/>
  <c r="Q96" i="48" s="1"/>
  <c r="J97" i="48" a="1"/>
  <c r="J97" i="48" s="1"/>
  <c r="D70" i="48" a="1"/>
  <c r="D70" i="48" s="1"/>
  <c r="D96" i="48" s="1"/>
  <c r="L70" i="48" a="1"/>
  <c r="L70" i="48" s="1"/>
  <c r="L96" i="48" s="1"/>
  <c r="R70" i="48" a="1"/>
  <c r="R70" i="48" s="1"/>
  <c r="R96" i="48" s="1"/>
  <c r="M67" i="48" a="1"/>
  <c r="M67" i="48" s="1"/>
  <c r="M95" i="48" s="1"/>
  <c r="E97" i="48" a="1"/>
  <c r="E97" i="48" s="1"/>
  <c r="U98" i="48" a="1"/>
  <c r="U98" i="48" s="1"/>
  <c r="E66" i="48" a="1"/>
  <c r="E66" i="48" s="1"/>
  <c r="E94" i="48" s="1"/>
  <c r="E113" i="48" s="1"/>
  <c r="W67" i="48" a="1"/>
  <c r="W67" i="48" s="1"/>
  <c r="W95" i="48" s="1"/>
  <c r="W114" i="48" s="1"/>
  <c r="G98" i="48" a="1"/>
  <c r="G98" i="48" s="1"/>
  <c r="X67" i="48" a="1"/>
  <c r="X67" i="48" s="1"/>
  <c r="X95" i="48" s="1"/>
  <c r="X114" i="48" s="1"/>
  <c r="I68" i="48" a="1"/>
  <c r="I68" i="48" s="1"/>
  <c r="Y67" i="48" a="1"/>
  <c r="Y67" i="48" s="1"/>
  <c r="Y95" i="48" s="1"/>
  <c r="Y114" i="48" s="1"/>
  <c r="J66" i="48" a="1"/>
  <c r="J66" i="48" s="1"/>
  <c r="J94" i="48" s="1"/>
  <c r="J113" i="48" s="1"/>
  <c r="R68" i="48" a="1"/>
  <c r="R68" i="48" s="1"/>
  <c r="R116" i="48" s="1"/>
  <c r="L68" i="48" a="1"/>
  <c r="L68" i="48" s="1"/>
  <c r="L116" i="48" s="1"/>
  <c r="Z68" i="48" a="1"/>
  <c r="Z68" i="48" s="1"/>
  <c r="Z116" i="48" s="1"/>
  <c r="M66" i="48" a="1"/>
  <c r="M66" i="48" s="1"/>
  <c r="M94" i="48" s="1"/>
  <c r="M113" i="48" s="1"/>
  <c r="E69" i="48" a="1"/>
  <c r="E69" i="48" s="1"/>
  <c r="M68" i="48" a="1"/>
  <c r="M68" i="48" s="1"/>
  <c r="M116" i="48" s="1"/>
  <c r="F70" i="48" a="1"/>
  <c r="F70" i="48" s="1"/>
  <c r="F96" i="48" s="1"/>
  <c r="U70" i="48" a="1"/>
  <c r="U70" i="48" s="1"/>
  <c r="U96" i="48" s="1"/>
  <c r="F67" i="48" a="1"/>
  <c r="F67" i="48" s="1"/>
  <c r="F95" i="48" s="1"/>
  <c r="F114" i="48" s="1"/>
  <c r="X70" i="48" a="1"/>
  <c r="X70" i="48" s="1"/>
  <c r="X96" i="48" s="1"/>
  <c r="I97" i="48" a="1"/>
  <c r="I97" i="48" s="1"/>
  <c r="Y70" i="48" a="1"/>
  <c r="Y70" i="48" s="1"/>
  <c r="Y96" i="48" s="1"/>
  <c r="J67" i="48" a="1"/>
  <c r="J67" i="48" s="1"/>
  <c r="J95" i="48" s="1"/>
  <c r="J114" i="48" s="1"/>
  <c r="Q66" i="48" a="1"/>
  <c r="Q66" i="48" s="1"/>
  <c r="Q94" i="48" s="1"/>
  <c r="Q113" i="48" s="1"/>
  <c r="T68" i="48" a="1"/>
  <c r="T68" i="48" s="1"/>
  <c r="T116" i="48" s="1"/>
  <c r="D66" i="48" a="1"/>
  <c r="D66" i="48" s="1"/>
  <c r="D94" i="48" s="1"/>
  <c r="D113" i="48" s="1"/>
  <c r="N67" i="48" a="1"/>
  <c r="N67" i="48" s="1"/>
  <c r="N95" i="48" s="1"/>
  <c r="N114" i="48" s="1"/>
  <c r="E68" i="48" a="1"/>
  <c r="E68" i="48" s="1"/>
  <c r="N66" i="48" a="1"/>
  <c r="N66" i="48" s="1"/>
  <c r="N94" i="48" s="1"/>
  <c r="N113" i="48" s="1"/>
  <c r="F97" i="48" a="1"/>
  <c r="F97" i="48" s="1"/>
  <c r="O67" i="48" a="1"/>
  <c r="O67" i="48" s="1"/>
  <c r="O95" i="48" s="1"/>
  <c r="O114" i="48" s="1"/>
  <c r="G70" i="48" a="1"/>
  <c r="G70" i="48" s="1"/>
  <c r="G96" i="48" s="1"/>
  <c r="V67" i="48" a="1"/>
  <c r="V67" i="48" s="1"/>
  <c r="V95" i="48" s="1"/>
  <c r="V114" i="48" s="1"/>
  <c r="G97" i="48" a="1"/>
  <c r="G97" i="48" s="1"/>
  <c r="X66" i="48" a="1"/>
  <c r="X66" i="48" s="1"/>
  <c r="X94" i="48" s="1"/>
  <c r="X113" i="48" s="1"/>
  <c r="J98" i="48" a="1"/>
  <c r="J98" i="48" s="1"/>
  <c r="Y66" i="48" a="1"/>
  <c r="Y66" i="48" s="1"/>
  <c r="Y94" i="48" s="1"/>
  <c r="Y113" i="48" s="1"/>
  <c r="T70" i="48" a="1"/>
  <c r="T70" i="48" s="1"/>
  <c r="T96" i="48" s="1"/>
  <c r="D98" i="48" a="1"/>
  <c r="D98" i="48" s="1"/>
  <c r="U68" i="48" a="1"/>
  <c r="U68" i="48" s="1"/>
  <c r="U116" i="48" s="1"/>
  <c r="D69" i="48" a="1"/>
  <c r="D69" i="48" s="1"/>
  <c r="D116" i="48" s="1"/>
  <c r="U66" i="48" a="1"/>
  <c r="U66" i="48" s="1"/>
  <c r="U94" i="48" s="1"/>
  <c r="U113" i="48" s="1"/>
  <c r="F66" i="48" a="1"/>
  <c r="F66" i="48" s="1"/>
  <c r="F94" i="48" s="1"/>
  <c r="F113" i="48" s="1"/>
  <c r="V70" i="48" a="1"/>
  <c r="V70" i="48" s="1"/>
  <c r="V96" i="48" s="1"/>
  <c r="G69" i="48" a="1"/>
  <c r="G69" i="48" s="1"/>
  <c r="W98" i="48" a="1"/>
  <c r="W98" i="48" s="1"/>
  <c r="H97" i="48" a="1"/>
  <c r="H97" i="48" s="1"/>
  <c r="P67" i="48" a="1"/>
  <c r="P67" i="48" s="1"/>
  <c r="P95" i="48" s="1"/>
  <c r="P114" i="48" s="1"/>
  <c r="H68" i="48" a="1"/>
  <c r="H68" i="48" s="1"/>
  <c r="Q98" i="48" a="1"/>
  <c r="Q98" i="48" s="1"/>
  <c r="L98" i="48" a="1"/>
  <c r="L98" i="48" s="1"/>
  <c r="Z98" i="48" a="1"/>
  <c r="Z98" i="48" s="1"/>
  <c r="M98" i="48" a="1"/>
  <c r="M98" i="48" s="1"/>
  <c r="R98" i="48" a="1"/>
  <c r="R98" i="48" s="1"/>
  <c r="M70" i="48" a="1"/>
  <c r="M70" i="48" s="1"/>
  <c r="M96" i="48" s="1"/>
  <c r="F98" i="48" a="1"/>
  <c r="F98" i="48" s="1"/>
  <c r="V66" i="48" a="1"/>
  <c r="V66" i="48" s="1"/>
  <c r="V94" i="48" s="1"/>
  <c r="V113" i="48" s="1"/>
  <c r="G66" i="48" a="1"/>
  <c r="G66" i="48" s="1"/>
  <c r="G94" i="48" s="1"/>
  <c r="G113" i="48" s="1"/>
  <c r="O66" i="48" a="1"/>
  <c r="O66" i="48" s="1"/>
  <c r="O94" i="48" s="1"/>
  <c r="O113" i="48" s="1"/>
  <c r="H67" i="48" a="1"/>
  <c r="H67" i="48" s="1"/>
  <c r="H95" i="48" s="1"/>
  <c r="H114" i="48" s="1"/>
  <c r="P66" i="48" a="1"/>
  <c r="P66" i="48" s="1"/>
  <c r="P94" i="48" s="1"/>
  <c r="P113" i="48" s="1"/>
  <c r="I67" i="48" a="1"/>
  <c r="I67" i="48" s="1"/>
  <c r="I95" i="48" s="1"/>
  <c r="I114" i="48" s="1"/>
  <c r="P70" i="48" a="1"/>
  <c r="P70" i="48" s="1"/>
  <c r="P96" i="48" s="1"/>
  <c r="Z103" i="48" l="1"/>
  <c r="Z115" i="48" s="1"/>
  <c r="Z118" i="48" s="1"/>
  <c r="R103" i="48"/>
  <c r="R115" i="48" s="1"/>
  <c r="R118" i="48" s="1"/>
  <c r="G116" i="48"/>
  <c r="Q103" i="48"/>
  <c r="Q115" i="48" s="1"/>
  <c r="Q118" i="48" s="1"/>
  <c r="W103" i="48"/>
  <c r="W115" i="48" s="1"/>
  <c r="W118" i="48" s="1"/>
  <c r="L103" i="48"/>
  <c r="L115" i="48" s="1"/>
  <c r="L118" i="48" s="1"/>
  <c r="V103" i="48"/>
  <c r="V115" i="48" s="1"/>
  <c r="V118" i="48" s="1"/>
  <c r="H103" i="48"/>
  <c r="H115" i="48" s="1"/>
  <c r="E116" i="48"/>
  <c r="Y103" i="48"/>
  <c r="Y115" i="48" s="1"/>
  <c r="Y118" i="48" s="1"/>
  <c r="F103" i="48"/>
  <c r="F115" i="48" s="1"/>
  <c r="O103" i="48"/>
  <c r="O115" i="48" s="1"/>
  <c r="O118" i="48" s="1"/>
  <c r="I116" i="48"/>
  <c r="I103" i="48"/>
  <c r="I115" i="48" s="1"/>
  <c r="J103" i="48"/>
  <c r="J115" i="48" s="1"/>
  <c r="X103" i="48"/>
  <c r="X115" i="48" s="1"/>
  <c r="X118" i="48" s="1"/>
  <c r="N103" i="48"/>
  <c r="N115" i="48" s="1"/>
  <c r="N118" i="48" s="1"/>
  <c r="H116" i="48"/>
  <c r="U103" i="48"/>
  <c r="U115" i="48" s="1"/>
  <c r="U118" i="48" s="1"/>
  <c r="J116" i="48"/>
  <c r="G103" i="48"/>
  <c r="G115" i="48" s="1"/>
  <c r="E103" i="48"/>
  <c r="E115" i="48" s="1"/>
  <c r="P103" i="48"/>
  <c r="P115" i="48" s="1"/>
  <c r="P118" i="48" s="1"/>
  <c r="F116" i="48"/>
  <c r="D103" i="48"/>
  <c r="D115" i="48" s="1"/>
  <c r="D118" i="48" s="1"/>
  <c r="D125" i="48" s="1"/>
  <c r="M103" i="48"/>
  <c r="M114" i="48"/>
  <c r="T103" i="48"/>
  <c r="T115" i="48" s="1"/>
  <c r="T118" i="48" s="1"/>
  <c r="E118" i="48" l="1"/>
  <c r="E125" i="48" s="1"/>
  <c r="G118" i="48"/>
  <c r="G125" i="48" s="1"/>
  <c r="J118" i="48"/>
  <c r="J125" i="48" s="1"/>
  <c r="I118" i="48"/>
  <c r="I125" i="48" s="1"/>
  <c r="M115" i="48"/>
  <c r="M118" i="48" s="1"/>
  <c r="H118" i="48"/>
  <c r="H125" i="48" s="1"/>
  <c r="F118" i="48"/>
  <c r="F125"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tc={F373FC35-D1B9-A848-8501-BFD2B466FEB2}</author>
  </authors>
  <commentList>
    <comment ref="AB32" authorId="0" shapeId="0" xr:uid="{00000000-0006-0000-0700-000001000000}">
      <text>
        <t>[Threaded comment]
Your version of Excel allows you to read this threaded comment; however, any edits to it will get removed if the file is opened in a newer version of Excel. Learn more: https://go.microsoft.com/fwlink/?linkid=870924
Comment:
    Where do these values come from now? I don’t know of LCOEs in this range from the pro forma</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<sst xmlns="http://schemas.openxmlformats.org/spreadsheetml/2006/main" count="1368" uniqueCount="730">
  <si>
    <t>E3 Electrolysis Pathways Calculator</t>
  </si>
  <si>
    <t>Version:</t>
  </si>
  <si>
    <t>Date Updated:</t>
  </si>
  <si>
    <t>Research Background</t>
  </si>
  <si>
    <t>Overview</t>
  </si>
  <si>
    <t>This workbook contains cost estimates for generating:</t>
  </si>
  <si>
    <t>(a) hydrogen via electrolysis</t>
  </si>
  <si>
    <t>(b) synthetic methane production via Sabatier reaction (taking in atmospheric or waste CO2 + hydrogen from electrolysis)</t>
  </si>
  <si>
    <t>(c) synthetic diesel via Fischer-Tropsch reaction (taking in atmospheric or waste CO2 + hydrogen from electrolysis)</t>
  </si>
  <si>
    <t>Sources</t>
  </si>
  <si>
    <r>
      <t xml:space="preserve">This workbook leverages research by </t>
    </r>
    <r>
      <rPr>
        <b/>
        <sz val="9"/>
        <color theme="1"/>
        <rFont val="Arial"/>
        <family val="2"/>
      </rPr>
      <t>Brendan P. Shaffer</t>
    </r>
    <r>
      <rPr>
        <sz val="9"/>
        <color theme="1"/>
        <rFont val="Arial"/>
        <family val="2"/>
      </rPr>
      <t xml:space="preserve"> and </t>
    </r>
    <r>
      <rPr>
        <b/>
        <sz val="9"/>
        <color theme="1"/>
        <rFont val="Arial"/>
        <family val="2"/>
      </rPr>
      <t>Blake Lane</t>
    </r>
    <r>
      <rPr>
        <sz val="9"/>
        <color theme="1"/>
        <rFont val="Arial"/>
        <family val="2"/>
      </rPr>
      <t xml:space="preserve"> of UC Irvine for H2 and CH4.</t>
    </r>
  </si>
  <si>
    <t xml:space="preserve"> - Solid Oxide Electrolyzers (SOEC)</t>
  </si>
  <si>
    <t xml:space="preserve"> - Polymer Electrolyte Membranes (PEM)</t>
  </si>
  <si>
    <t xml:space="preserve"> - Alkaline Electrolyzers (AEC)</t>
  </si>
  <si>
    <t xml:space="preserve"> - Methanation equipment (for Sabatier reaction)</t>
  </si>
  <si>
    <t xml:space="preserve"> </t>
  </si>
  <si>
    <r>
      <t xml:space="preserve">Direct Air Capture (DAC) costs are aligned with assumptions </t>
    </r>
    <r>
      <rPr>
        <b/>
        <sz val="9"/>
        <color theme="1"/>
        <rFont val="Arial"/>
        <family val="2"/>
      </rPr>
      <t>Clea Kolster of E3</t>
    </r>
    <r>
      <rPr>
        <sz val="9"/>
        <color theme="1"/>
        <rFont val="Arial"/>
        <family val="2"/>
      </rPr>
      <t xml:space="preserve"> developed for 2050</t>
    </r>
  </si>
  <si>
    <r>
      <rPr>
        <b/>
        <sz val="9"/>
        <color theme="1"/>
        <rFont val="Arial"/>
        <family val="2"/>
      </rPr>
      <t>John Stevens</t>
    </r>
    <r>
      <rPr>
        <sz val="9"/>
        <color theme="1"/>
        <rFont val="Arial"/>
        <family val="2"/>
      </rPr>
      <t xml:space="preserve"> developed a calculation of synthetic diesel pathways</t>
    </r>
  </si>
  <si>
    <t>Tab Formatting</t>
  </si>
  <si>
    <t>Tabs in Bright Green are the calculation of the levelized cost of fuel in $/GJ HHV. Each column refers to a combination of fuel, input resource, production year and conversion pathway</t>
  </si>
  <si>
    <t>Tabs in orange-yellow are reference for energy costs specific to client</t>
  </si>
  <si>
    <t>Tabs in lavendar are reference for capital costs and efficiency, as well as citations and conversion constants</t>
  </si>
  <si>
    <t xml:space="preserve"> - Capital costs and efficiencies were derived from literature and theoretical limits (for SOECs in latter years)</t>
  </si>
  <si>
    <t xml:space="preserve"> - Two learning curves—10% and 14%—were used as "conservative" and "base case" scenarios, respectively</t>
  </si>
  <si>
    <t>Electrolysis Pathways Calculations</t>
  </si>
  <si>
    <t>Electrolysis Pathways</t>
  </si>
  <si>
    <t>Notes</t>
  </si>
  <si>
    <t>Case Description</t>
  </si>
  <si>
    <t>Pacific Northwest Hydrogen</t>
  </si>
  <si>
    <t>Pacific NW Synthetic Methane with DAC</t>
  </si>
  <si>
    <t>Pacific NW Methane with Waste CO2 Pathway</t>
  </si>
  <si>
    <t xml:space="preserve">These are the "standard" pathways, though other options are feasible. Changing the input electricity/heat CF and LCOE can be done for all pathways. Please contact John Stevens if you want to model other differences. </t>
  </si>
  <si>
    <t>Toggles</t>
  </si>
  <si>
    <t>Select Year</t>
  </si>
  <si>
    <t>This chooses what energy prices, capital costs and system efficiencies. Data are selected from the input heat/electricity cost tables below and the data in the Cost and Efficiency tab, depending on what year is chosen.</t>
  </si>
  <si>
    <t>Fuel Product</t>
  </si>
  <si>
    <t>Hydrogen</t>
  </si>
  <si>
    <t>Methane</t>
  </si>
  <si>
    <t>Selecting Hydrogen, Diesel or Methane specifies the efficiencies of energy conversion and also specifies some of the themochemical equipment you'll need.</t>
  </si>
  <si>
    <t>Hydrogen Production Pathway</t>
  </si>
  <si>
    <t>AEC</t>
  </si>
  <si>
    <t>Options: Alkaline Electrolyzer (AEC), polymer electrolyte membrane electrolyzer (PEMEC), solide oxide electrolyzer without aux or waste heat (SOEC) or with waste heat (SOEC + Heat). AEC is default assumption, most mature, lowest cost. PEM offer some real-world advantages vs. AECs, but are more expensive. SOECs are potentially lowest cost in future, but not technologically mature, and thus typically are not modeled.</t>
  </si>
  <si>
    <t>Electrolyzer Powered with Aux Heat?</t>
  </si>
  <si>
    <t>No Heat</t>
  </si>
  <si>
    <t>If you choose AEC or PEM, use "no heat." If you choose SOEC, then use "aux heat" or "waste heat". Only choose "waste heat" if the heat cost is below the cost of input electricity, otherwise it's cheaper to use electricity and take the efficiency hit of not having input heat.</t>
  </si>
  <si>
    <t>CO2 Capture Pathway</t>
  </si>
  <si>
    <t>None</t>
  </si>
  <si>
    <t>DAC</t>
  </si>
  <si>
    <t>Biofuel Synthesis Waste CO2</t>
  </si>
  <si>
    <t>If you make methane or diesel, you need input CO2 to combine with H2 to make hydrocarbons. Direct air capture (DAC) is standard assumption if you don't have waste CO2. Waste CO2 is often less expensive than DAC. Typically we don't use E-CEM (seawater CO2 capture) nor flue gas CO2 capture (PCC), due to the uncertainty over the former and the non carbon-neutral nature of the latter.</t>
  </si>
  <si>
    <t>Hydrogen Production Feedstock</t>
  </si>
  <si>
    <t>solar_new_PNW</t>
  </si>
  <si>
    <t>Has no effect on calculation, used as a label to keep track of input assumptions</t>
  </si>
  <si>
    <t>CO2 Cost/tonne Override ($/tonne)</t>
  </si>
  <si>
    <t>If you choose "Waste CO2", then enter a cost of CO2. Typical waste CO2 cost from biomass refining of $50/tonne.</t>
  </si>
  <si>
    <t>Cost Trajectory</t>
  </si>
  <si>
    <t>conservative</t>
  </si>
  <si>
    <t>Chooses capital and O&amp;M costs of electrolyzer, CO2 capture and themochemical equipment. Typically choose both and take average of the two trajectories.</t>
  </si>
  <si>
    <t>Efficiency Trajectory</t>
  </si>
  <si>
    <t>Chooses efficiency of electrolyzer, CO2 capture and thermochemical equipment. Typically choose "optimistic."</t>
  </si>
  <si>
    <t>System Input Size (MW)</t>
  </si>
  <si>
    <t>Specifies size of plant in input power capacity. The interconnection and (in the case of H2 production) blending costs are fixed on a $/plant basis, so larger plants have lower levelized blending and interconnection costs. Beyond a few MW, the blending/interconnection costs are very small relative to other costs.</t>
  </si>
  <si>
    <t>Total New H2 Pipeline Distance (mi)</t>
  </si>
  <si>
    <t>Specifies total length of dedicated H2 pipeline that must be built (from electrolyzer to storage to end use). Cost is for transmission-level, high pressure pipeline, and omits any distribution costs. Set to zero for methane or diesel.</t>
  </si>
  <si>
    <t>Input Energy Resource Cap. Factor (%)</t>
  </si>
  <si>
    <t>Specifies capacity factor of input electricity sources, as well as the electrolyzer, CO2 capture and thermochemical equipment. Set to maximum of 90% for grid-tied, or set to electricity source CF.</t>
  </si>
  <si>
    <t>New Underground H2 Storage?</t>
  </si>
  <si>
    <t>Yes</t>
  </si>
  <si>
    <t>No</t>
  </si>
  <si>
    <t xml:space="preserve">Cost of typical geological natural gas storage, multiplied by 3 due to difference in volumetric energy density between methane and hydrogen at typical pressures in underground storage formations. </t>
  </si>
  <si>
    <t>Discount Rate</t>
  </si>
  <si>
    <t>Discount rate for levelizing capital costs.</t>
  </si>
  <si>
    <t>Electrochemical System Lifetime (yrs)</t>
  </si>
  <si>
    <t>Lifetime of electrolyzer</t>
  </si>
  <si>
    <t>Thermochemical System Lifetime (yrs)</t>
  </si>
  <si>
    <t>Lifetime of DAC and thermochemical equipment (if applicable)</t>
  </si>
  <si>
    <t>Electricity &amp; Heat Cost Projections</t>
  </si>
  <si>
    <t>Levelized Cost of Electricity ($/MWh)</t>
  </si>
  <si>
    <t>Enter levelized, $/MWh cost of input electricity. Data typically sourced from E3 Pro Forma</t>
  </si>
  <si>
    <t>[Optional] Levelized Cost of Heat ($/MWh)</t>
  </si>
  <si>
    <t xml:space="preserve">Enter levelized, $/MWh cost of input heat. Data typically sourced from E3 Pro Forma. Only used for SOEC + Heat pathway. </t>
  </si>
  <si>
    <t>[Optional, for Accounting Only] Capital Cost of Electricity Source ($/kW)</t>
  </si>
  <si>
    <t>Enter $/kW capital cost of electricity source. Only used to report the total capital outlay per GJ/year fuel production capacity, if desired. Does not affect levelized $/GJ fuel costs reported below in "Results"</t>
  </si>
  <si>
    <t>Intermediate Calculations</t>
  </si>
  <si>
    <t>Electricity Price ($/MWh)</t>
  </si>
  <si>
    <t>Selected for year input by user from electricity cost entered by user</t>
  </si>
  <si>
    <t>Heat Price ($/MWh)</t>
  </si>
  <si>
    <t>Selected for year input by user from heat cost entered by user</t>
  </si>
  <si>
    <t>Capital Cost of Electricity Source ($/kW)</t>
  </si>
  <si>
    <t>Electrohemical Cost ($/kW)</t>
  </si>
  <si>
    <t>Selected for year/scenario input by user from electrolyzer costs on Cost and Efficiency Data tab</t>
  </si>
  <si>
    <t>CO2 Capture Capital Cost ($/ton/day)</t>
  </si>
  <si>
    <t>Selected for year/scenario input by user from CO2 capture costs on Cost and Efficiency Data tab</t>
  </si>
  <si>
    <t>Themochem. Conversion Capital Cost ($/kW)</t>
  </si>
  <si>
    <t>Selected for year/scenario input by user from methane and diesel plant capital costs on Cost and Efficiency Data tab</t>
  </si>
  <si>
    <t>Pipeline Levelized Capital Cost ($/mi-GJ delivered H2)</t>
  </si>
  <si>
    <t>Cost per GJ per mile for hydrogen. Based on high pressure transmission natural gas pipeline cost.</t>
  </si>
  <si>
    <t>Underground Storage Levelized Capital Cost ($/GJ delivered H2)</t>
  </si>
  <si>
    <t>Cost per GJ for hydrogen. Based on underground storage cost for natural gas.</t>
  </si>
  <si>
    <t>Steam Turbine Capital Cost ($/kW)</t>
  </si>
  <si>
    <t>Selected for year/scenario input by user for steam turbine that turns waste heat from thermochemical process into electricity to power electrolyzer</t>
  </si>
  <si>
    <t>Electrochemical Capital Recovery Factor (%)</t>
  </si>
  <si>
    <t>Calculated from user inputs</t>
  </si>
  <si>
    <t>Thermochemical Capital Recovery Factor (%)</t>
  </si>
  <si>
    <t>Electrochemical Efficiency (HHV) (%)</t>
  </si>
  <si>
    <t>Selected for year/scenario input by user from electrolyzer efficiency on Cost and Efficiency Data tab</t>
  </si>
  <si>
    <t>Thermochemical Heat Recovery Turbine/Generator Efficiency (%)</t>
  </si>
  <si>
    <t>Selected for year/scenario input by user from turbine efficiency on Cost and Efficiency Data tab</t>
  </si>
  <si>
    <t>Themochem. CO Utilization Eff (%)</t>
  </si>
  <si>
    <t>Selected for year/scenario input by user from thermochemical efficiency on Cost and Efficiency Data tab</t>
  </si>
  <si>
    <t>Thermochem. Eff. Normalized by theoretical maximum efficiency (%)</t>
  </si>
  <si>
    <t>Electrical Power in [kW]</t>
  </si>
  <si>
    <t>Pipeline blending cost is invariant, this is used to determine relative ratio of pipeline blending to other costs</t>
  </si>
  <si>
    <t>H2 produced [kW]</t>
  </si>
  <si>
    <t>Add'l EC Heat Power in from high temperature heat sources [kW]</t>
  </si>
  <si>
    <t>H2 produced [kg/d]</t>
  </si>
  <si>
    <t>Hydrocarbon produced [kg/d]</t>
  </si>
  <si>
    <t>Hydrocarbon produced [kW]</t>
  </si>
  <si>
    <t>CO2 needed [kg/d]</t>
  </si>
  <si>
    <t>Electricity Requirement for CO2 [kW]</t>
  </si>
  <si>
    <t>Net Heat rejected [kW]</t>
  </si>
  <si>
    <t>Heat for CO2 Sorbent Regeneration to Be Supplied by Electricity [kW]</t>
  </si>
  <si>
    <t>Heat for CO2 Sorbent Regeneration to Be Supplied by Auxiliary Sources [kW] (i.e. a high temperature source)</t>
  </si>
  <si>
    <t>Electricity from Heat Recovery Steam Turbine [kW]</t>
  </si>
  <si>
    <t>Total Heat In From Auxiliary Sources (kW)</t>
  </si>
  <si>
    <t>Total Net Electricity Power In (kW)</t>
  </si>
  <si>
    <t>Total Net Power In (including Aux Heat) (kW)</t>
  </si>
  <si>
    <t>Total Power out (kW)</t>
  </si>
  <si>
    <t>Electrolyzer capital cost [$]</t>
  </si>
  <si>
    <t>CO2 capture capital cost [$]</t>
  </si>
  <si>
    <t>Thermochemical Conversion Equipment capital cost [$]</t>
  </si>
  <si>
    <t>Steam turbine capital cost [$]</t>
  </si>
  <si>
    <t>Pipeline blending capital cost [$]</t>
  </si>
  <si>
    <t>Interconnection capital cost [$]</t>
  </si>
  <si>
    <t>FOM Thermochemical Process [$/kW-yr]</t>
  </si>
  <si>
    <t>VOM Electrolyzer [$/MWh]</t>
  </si>
  <si>
    <t>VOM Air CO2 Capture Process ($/MWh)</t>
  </si>
  <si>
    <t>Waste CO2 Price ($/GJ_out)</t>
  </si>
  <si>
    <t>$ Capital/GJ_out</t>
  </si>
  <si>
    <t>VOM ($/GJ_out)</t>
  </si>
  <si>
    <t>FOM ($/GJ_out)</t>
  </si>
  <si>
    <t>$/GJ_out Electricity Input</t>
  </si>
  <si>
    <t>$/GJ_out Heat Input</t>
  </si>
  <si>
    <t>Results</t>
  </si>
  <si>
    <t>Levelized Electricity and Heat Input Cost, Net of Heat Recovery Turbine-Generated Electricity (2018$/GJ)</t>
  </si>
  <si>
    <t>Levelized $ of electricity plant capital per GJ of fuel delivered</t>
  </si>
  <si>
    <t>Levelized Electrolyzer Capital Cost (2018$/GJ)</t>
  </si>
  <si>
    <t>Levelized $ of electrolyzer capital per GJ of fuel delivered</t>
  </si>
  <si>
    <t>Levelized CO2 Capture Capital Cost (excludes CO2 cost if waste CO2 used) (2018$/GJ)</t>
  </si>
  <si>
    <t>Levelized $ of CO2 capture equipment capital per GJ of fuel delivered</t>
  </si>
  <si>
    <t>Levelized Thermochemical Conversion Equipment Cost (2018$/GJ)</t>
  </si>
  <si>
    <t>Levelized $ of diesel or methane production thermochemical plant equipment capital per GJ of fuel delivered</t>
  </si>
  <si>
    <t>Levelized Other Capital Costs (Heat Recovery to Electricity Turbine, Pipeline Blending, Interconnection) (2018$/GJ)</t>
  </si>
  <si>
    <t>Levelized $ of other capital per GJ of fuel delivered</t>
  </si>
  <si>
    <t>Levelized H2 Storage and Pipeline Costs (2018$/GJ)</t>
  </si>
  <si>
    <t>Levelized $ of pipeline and storage costs for hydrogen</t>
  </si>
  <si>
    <t>Non-electricity O&amp;M Costs (includes CO2 cost if waste CO2 used) (2018$/GJ)</t>
  </si>
  <si>
    <t>Levelized $ of O&amp;M from electrolyzer, CO2 capture and thermochemical equipment</t>
  </si>
  <si>
    <t>2018$/GJ of fuel output, total (HHV)</t>
  </si>
  <si>
    <t>Total levelized cost per GJ of fuel output</t>
  </si>
  <si>
    <t>Other Results</t>
  </si>
  <si>
    <t>Total H2 or Hydrocarbon Conversion Efficiency</t>
  </si>
  <si>
    <t>Total Energy Out/Energy In for Process Including aux heat and electricity for CO2 capture and/or high temp electrolyzer, Net of gain from waste heat to electricity</t>
  </si>
  <si>
    <t>Data from WRI RESOLVE on new Resource CF and Cost</t>
  </si>
  <si>
    <t>solar_existing_ERCOT</t>
  </si>
  <si>
    <t>solar_existing_CAISO</t>
  </si>
  <si>
    <t>solar_existing_NWPP</t>
  </si>
  <si>
    <t>solar_existing_PNW</t>
  </si>
  <si>
    <t>solar_existing_RMPP</t>
  </si>
  <si>
    <t>solar_existing_AZNM</t>
  </si>
  <si>
    <t>solar_new_ERCOT</t>
  </si>
  <si>
    <t>solar_new_CAISO</t>
  </si>
  <si>
    <t>solar_new_NWPP</t>
  </si>
  <si>
    <t>solar_new_RMPP</t>
  </si>
  <si>
    <t>solar_new_AZNM</t>
  </si>
  <si>
    <t>solar_DG_ERCOT</t>
  </si>
  <si>
    <t>solar_DG_CAISO</t>
  </si>
  <si>
    <t>solar_DG_NWPP</t>
  </si>
  <si>
    <t>solar_DG_PNW</t>
  </si>
  <si>
    <t>solar_DG_RMPP</t>
  </si>
  <si>
    <t>solar_DG_AZNM</t>
  </si>
  <si>
    <t>wind_existing_ERCOT</t>
  </si>
  <si>
    <t>wind_existing_CAISO</t>
  </si>
  <si>
    <t>wind_existing_NWPP</t>
  </si>
  <si>
    <t>wind_existing_PNW</t>
  </si>
  <si>
    <t>wind_existing_RMPP</t>
  </si>
  <si>
    <t>wind_existing_AZNM</t>
  </si>
  <si>
    <t>wind_new_ERCOT</t>
  </si>
  <si>
    <t>wind_new_CAISO</t>
  </si>
  <si>
    <t>wind_new_NWPP</t>
  </si>
  <si>
    <t>wind_new_PNW</t>
  </si>
  <si>
    <t>wind_new_RMPP</t>
  </si>
  <si>
    <t>wind_new_AZNM</t>
  </si>
  <si>
    <t>wind_offshore_new_AZNM</t>
  </si>
  <si>
    <t>wind_offshore_new_CAISO</t>
  </si>
  <si>
    <t>wind_offshore_new_ERCOT</t>
  </si>
  <si>
    <t>wind_offshore_new_NWPP</t>
  </si>
  <si>
    <t>wind_offshore_new_PNW</t>
  </si>
  <si>
    <t>wind_offshore_new_RMPP</t>
  </si>
  <si>
    <t>solar_existing_FRCC</t>
  </si>
  <si>
    <t>solar_existing_PJM-E</t>
  </si>
  <si>
    <t>solar_existing_PJM-W</t>
  </si>
  <si>
    <t>solar_existing_ISONE</t>
  </si>
  <si>
    <t>solar_existing_NYISO</t>
  </si>
  <si>
    <t>solar_existing_SERC</t>
  </si>
  <si>
    <t>solar_existing_VACAR</t>
  </si>
  <si>
    <t>solar_existing_TVA</t>
  </si>
  <si>
    <t>solar_existing_SPP</t>
  </si>
  <si>
    <t>solar_existing_MISO-E</t>
  </si>
  <si>
    <t>solar_existing_MISO-W</t>
  </si>
  <si>
    <t>solar_existing_MISO-S</t>
  </si>
  <si>
    <t>solar_new_FRCC</t>
  </si>
  <si>
    <t>solar_new_PJM-E</t>
  </si>
  <si>
    <t>solar_new_PJM-W</t>
  </si>
  <si>
    <t>solar_new_ISONE</t>
  </si>
  <si>
    <t>solar_new_NYISO</t>
  </si>
  <si>
    <t>solar_new_SERC</t>
  </si>
  <si>
    <t>solar_new_VACAR</t>
  </si>
  <si>
    <t>solar_new_TVA</t>
  </si>
  <si>
    <t>solar_new_SPP</t>
  </si>
  <si>
    <t>solar_new_MISO-E</t>
  </si>
  <si>
    <t>solar_new_MISO-W</t>
  </si>
  <si>
    <t>solar_new_MISO-S</t>
  </si>
  <si>
    <t>solar_DG_FRCC</t>
  </si>
  <si>
    <t>solar_DG_PJM-E</t>
  </si>
  <si>
    <t>solar_DG_PJM-W</t>
  </si>
  <si>
    <t>solar_DG_ISONE</t>
  </si>
  <si>
    <t>solar_DG_NYISO</t>
  </si>
  <si>
    <t>solar_DG_SERC</t>
  </si>
  <si>
    <t>solar_DG_VACAR</t>
  </si>
  <si>
    <t>solar_DG_TVA</t>
  </si>
  <si>
    <t>solar_DG_SPP</t>
  </si>
  <si>
    <t>solar_DG_MISO-E</t>
  </si>
  <si>
    <t>solar_DG_MISO-W</t>
  </si>
  <si>
    <t>solar_DG_MISO-S</t>
  </si>
  <si>
    <t>wind_existing_FRCC</t>
  </si>
  <si>
    <t>wind_existing_PJM-E</t>
  </si>
  <si>
    <t>wind_existing_PJM-W</t>
  </si>
  <si>
    <t>wind_existing_ISONE</t>
  </si>
  <si>
    <t>wind_existing_NYISO</t>
  </si>
  <si>
    <t>wind_existing_SERC</t>
  </si>
  <si>
    <t>wind_existing_VACAR</t>
  </si>
  <si>
    <t>wind_existing_TVA</t>
  </si>
  <si>
    <t>wind_existing_SPP</t>
  </si>
  <si>
    <t>wind_existing_MISO-E</t>
  </si>
  <si>
    <t>wind_existing_MISO-W</t>
  </si>
  <si>
    <t>wind_existing_MISO-S</t>
  </si>
  <si>
    <t>wind_new_FRCC</t>
  </si>
  <si>
    <t>wind_new_PJM-E</t>
  </si>
  <si>
    <t>wind_new_PJM-W</t>
  </si>
  <si>
    <t>wind_new_ISONE</t>
  </si>
  <si>
    <t>wind_new_NYISO</t>
  </si>
  <si>
    <t>wind_new_SERC</t>
  </si>
  <si>
    <t>wind_new_VACAR</t>
  </si>
  <si>
    <t>wind_new_TVA</t>
  </si>
  <si>
    <t>wind_new_SPP</t>
  </si>
  <si>
    <t>wind_new_MISO-E</t>
  </si>
  <si>
    <t>wind_new_MISO-W</t>
  </si>
  <si>
    <t>wind_new_MISO-S</t>
  </si>
  <si>
    <t>wind_offshore_new_FRCC</t>
  </si>
  <si>
    <t>wind_offshore_new_PJM-E</t>
  </si>
  <si>
    <t>wind_offshore_new_PJM-W</t>
  </si>
  <si>
    <t>wind_offshore_new_ISONE</t>
  </si>
  <si>
    <t>wind_offshore_new_NYISO</t>
  </si>
  <si>
    <t>wind_offshore_new_SERC</t>
  </si>
  <si>
    <t>wind_offshore_new_VACAR</t>
  </si>
  <si>
    <t>wind_offshore_new_TVA</t>
  </si>
  <si>
    <t>wind_offshore_new_SPP</t>
  </si>
  <si>
    <t>wind_offshore_new_MISO-E</t>
  </si>
  <si>
    <t>wind_offshore_new_MISO-W</t>
  </si>
  <si>
    <t>wind_offshore_new_MISO-S</t>
  </si>
  <si>
    <t>Actual CF in Shape</t>
  </si>
  <si>
    <t>2018 $/kW-yr total LFC costs by vintage</t>
  </si>
  <si>
    <t>Resource Name</t>
  </si>
  <si>
    <t>CF</t>
  </si>
  <si>
    <t>Item</t>
  </si>
  <si>
    <t>Type</t>
  </si>
  <si>
    <t>Conservative</t>
  </si>
  <si>
    <t>Optimistic</t>
  </si>
  <si>
    <t>Learning Rate</t>
  </si>
  <si>
    <t>Non-Electrochemical</t>
  </si>
  <si>
    <t>Progress Ratio</t>
  </si>
  <si>
    <t>alpha</t>
  </si>
  <si>
    <t>Electrochemical</t>
  </si>
  <si>
    <t>Conservative Assumptions</t>
  </si>
  <si>
    <t>Optimistic Assumptions</t>
  </si>
  <si>
    <t>Assumed Cumulative Deployed GW of Electrolyzers (Denoted "Pt")</t>
  </si>
  <si>
    <t>Assumed Cumulative Deployed GW (Pt) of Electrolyzers</t>
  </si>
  <si>
    <t>Total</t>
  </si>
  <si>
    <t>PEMEC</t>
  </si>
  <si>
    <t>SOEC + Heat</t>
  </si>
  <si>
    <t>SOEC</t>
  </si>
  <si>
    <t>Rough Scales used to Estimate GW of Electrolyzer Scale</t>
  </si>
  <si>
    <t>Year</t>
  </si>
  <si>
    <t>CA NG Consumption</t>
  </si>
  <si>
    <t>million cubic feet</t>
  </si>
  <si>
    <t>MMBtu/hr</t>
  </si>
  <si>
    <t>GW</t>
  </si>
  <si>
    <t>US NG consumption</t>
  </si>
  <si>
    <t>quadrillion btu</t>
  </si>
  <si>
    <t>World NG Consumption</t>
  </si>
  <si>
    <t>Electrolyzer</t>
  </si>
  <si>
    <t>CO2 Capture</t>
  </si>
  <si>
    <t>Methanator</t>
  </si>
  <si>
    <t>ST medium</t>
  </si>
  <si>
    <t>Boiler</t>
  </si>
  <si>
    <t>Blending</t>
  </si>
  <si>
    <t>Interconnection</t>
  </si>
  <si>
    <t>Pt [GW] of Electrolyzers</t>
  </si>
  <si>
    <t>Scale Factor</t>
  </si>
  <si>
    <t>Capital Costs Non-Electrolyzer Costs</t>
  </si>
  <si>
    <t>Cost [$/ton/day]</t>
  </si>
  <si>
    <t>Cost [$/kW]</t>
  </si>
  <si>
    <t>Cost ($/GJ-km)</t>
  </si>
  <si>
    <t>Cost [$/Plant]</t>
  </si>
  <si>
    <t>Cost ($/GJ)</t>
  </si>
  <si>
    <t>E-CEM</t>
  </si>
  <si>
    <t>PCC</t>
  </si>
  <si>
    <t>DAC - UCI</t>
  </si>
  <si>
    <t>DAC - NAS</t>
  </si>
  <si>
    <t>Diesel</t>
  </si>
  <si>
    <t>Steam Turbine</t>
  </si>
  <si>
    <t>H2 Pipeline Cost</t>
  </si>
  <si>
    <t>H2 Underground Storage Cost</t>
  </si>
  <si>
    <t>Pipeline Blending</t>
  </si>
  <si>
    <t>Pipeline Interconnection</t>
  </si>
  <si>
    <t>Electrolyzer Capital Cost (2019$/kW input)</t>
  </si>
  <si>
    <t>Electrolyzer and Thermochemical Equipment O&amp;M Costs</t>
  </si>
  <si>
    <t>VOM ($/MWh input electricity)</t>
  </si>
  <si>
    <t>FOM ($/kW-yr input electricity</t>
  </si>
  <si>
    <t>Efficiency (%)</t>
  </si>
  <si>
    <t>Efficiency (kj/kg CO2)</t>
  </si>
  <si>
    <t>Methane HHV vs. Thermodynamic Limit</t>
  </si>
  <si>
    <t>Diesel HHV vs. Thermodynamic Limit</t>
  </si>
  <si>
    <t>Methane CO Utilization Efficiency</t>
  </si>
  <si>
    <t>Diesel CO Utilization Efficiency</t>
  </si>
  <si>
    <t>Steam Turbine Efficiency</t>
  </si>
  <si>
    <t>E-CEM Electricity</t>
  </si>
  <si>
    <t>DAC Electricity</t>
  </si>
  <si>
    <t>DAC Heat</t>
  </si>
  <si>
    <t>Electrolyzer HHV Efficiency</t>
  </si>
  <si>
    <t>Aux Heat</t>
  </si>
  <si>
    <t>Fischer Tropsch Pathway for making Diesel Analysis</t>
  </si>
  <si>
    <t xml:space="preserve">Approach: Use combination of data from various studies of making Fischer-Tropsch Diesel from Biomass. Sources: </t>
  </si>
  <si>
    <t xml:space="preserve">Hannula et al ("Liquid transportation fuels via large-scale fluidised bed gasification of lignocellulosic biomass" https://www.vtt.fi/inf/pdf/technology/2013/T91.pdf) </t>
  </si>
  <si>
    <t>Tremel et al ("Techno-economic analysis for the synthesis of liquid and gaseous fuels based on hydrogen production via electrolysis", https://www.sciencedirect.com/science/article/abs/pii/S0360319915001652), https://doi.org/10.1016/j.ijhydene.2015.01.097)</t>
  </si>
  <si>
    <t>Zhu et al ("Techno-economic Analysis for the thermochemical conversion of biomass to liquid fuels", 2011, https://www.pnnl.gov/main/publications/external/technical_reports/pnnl-19009.pdf)</t>
  </si>
  <si>
    <t>Ruth et al ("The Economic Potential of Two Nuclear-Renewable Hybrid Energy Systems", 2016, https://www.nrel.gov/docs/fy16osti/66073.pdf)</t>
  </si>
  <si>
    <t>Assumption: Because FT rxn is highly exothermic, produces 147 kJ heat per reacted carbon atom, that this waste heat could technically be recycled via on-site steam turbines to power ancillary compressors, pumps, etc. Small auxiliary energy need powered by hydrogen. This is assumed in Hannula et al, and represents the "high efficiency" by 2050 case</t>
  </si>
  <si>
    <t>Syngas Composition is 2:1 H2 to CO (2H2:CO)</t>
  </si>
  <si>
    <t>Hannula p. 18, Section 2.2</t>
  </si>
  <si>
    <t>2013 usd to 2013 euro</t>
  </si>
  <si>
    <t>From IRS</t>
  </si>
  <si>
    <t>2015 USD to 2015 euro</t>
  </si>
  <si>
    <t>2017 USD to 2013 USD</t>
  </si>
  <si>
    <t>From BLS</t>
  </si>
  <si>
    <t>2017 USD to 2015 USD</t>
  </si>
  <si>
    <t>Fischer Tropsch Capital Costs Section</t>
  </si>
  <si>
    <t>Capital costs for FT plant from Hannula (See p 82, Table 26, LTFT Design 3), Note this Ignores Biomass Gasification Steps since We'd Introduce CO2 and H2 Directly to WGS Reactor</t>
  </si>
  <si>
    <t>Buildings</t>
  </si>
  <si>
    <t>million 2013 Euro</t>
  </si>
  <si>
    <t>Process flow of FT System in Hannula et al</t>
  </si>
  <si>
    <t>Reverse WGS shift</t>
  </si>
  <si>
    <t>Syngas cooling</t>
  </si>
  <si>
    <t>Compression</t>
  </si>
  <si>
    <t>Acid gas removal</t>
  </si>
  <si>
    <t>Power island</t>
  </si>
  <si>
    <t>Fischer-Tropsch synthesis</t>
  </si>
  <si>
    <t>FT reactor</t>
  </si>
  <si>
    <t>HC recovery plant</t>
  </si>
  <si>
    <t>H2 production (PSA system)</t>
  </si>
  <si>
    <t>Wax hydrocracking</t>
  </si>
  <si>
    <t>FT recycle compressor</t>
  </si>
  <si>
    <t>Total 2017 USD</t>
  </si>
  <si>
    <t>million 2017 USD</t>
  </si>
  <si>
    <t>Output MW, Diesel (C13H24)</t>
  </si>
  <si>
    <t>MW</t>
  </si>
  <si>
    <t>See table 22, p. 75 for Design 3</t>
  </si>
  <si>
    <t>Efficiency, Reverse water gas shift rxn</t>
  </si>
  <si>
    <t>Assume can be done with waste heat from FT rxn (mildly endothermic to go from CO2 + H2 -&gt; CO + H2O) (see heat of reaction listed below, on order of 2% of heat of rxn)</t>
  </si>
  <si>
    <t>Capital Cost of gasoline plant from Ruth et al</t>
  </si>
  <si>
    <t>$/kg/hr gasoline output</t>
  </si>
  <si>
    <t>FOM Cost of gasoline plant from Ruth et al</t>
  </si>
  <si>
    <t>$/kg output/hr-yr</t>
  </si>
  <si>
    <t>HHV per kg of gasoline</t>
  </si>
  <si>
    <t>MJ/kg</t>
  </si>
  <si>
    <t>Seconds/Hr</t>
  </si>
  <si>
    <t>s/hr</t>
  </si>
  <si>
    <t>$/MW Capacity Output</t>
  </si>
  <si>
    <t>$/MW Output-yr</t>
  </si>
  <si>
    <t>Total 2017 USD/MW output diesel, Hannula et al</t>
  </si>
  <si>
    <t>Size of Hannula et al plant</t>
  </si>
  <si>
    <t>MW diesel</t>
  </si>
  <si>
    <t>Total 2017 USD/MW output diesel, Tremel et al</t>
  </si>
  <si>
    <t>million 2017 USD, taken from fig 4 of Tremel et al for 100 MW product output plant (add FT diesel and syncrude costs, are these are concurrent outputs of same plant)</t>
  </si>
  <si>
    <t>Size of Tremel et al plant</t>
  </si>
  <si>
    <t>MW combined syncrude + diesel</t>
  </si>
  <si>
    <t>Total 2017 USD/MW of output gasoline, Ruth et al</t>
  </si>
  <si>
    <t>million 2017 USD, see Table 2 and they use 2013 dollars, so convert to 2017</t>
  </si>
  <si>
    <t>Size of Ruth et al gasoline plant</t>
  </si>
  <si>
    <t>Assumed scaling coefficient for thermochemical plants</t>
  </si>
  <si>
    <t>This is a standard value used to normalized scale plant cost as an f(plant size), and is also from Tremel et al, C(s) = C(s_o)*(S(s)/S(s_o))^0.6</t>
  </si>
  <si>
    <t xml:space="preserve">Target comparison power plant </t>
  </si>
  <si>
    <t>MW diesel output</t>
  </si>
  <si>
    <t>Ruth's design involves a lot of extra capital to render high fuel throughput vs. the other designs, which produce diesel + syncrude. Given cost of getting CO2, choose Ruth's design</t>
  </si>
  <si>
    <t>Fischer Tropsch Efficiency Section</t>
  </si>
  <si>
    <t>Heat of reaction, CO + H2O -&gt; CO2 + H2</t>
  </si>
  <si>
    <t>kJ/mol</t>
  </si>
  <si>
    <t>Heat of combustion: H2, LHV</t>
  </si>
  <si>
    <t>Heat of combustion: H2, HHV</t>
  </si>
  <si>
    <t>Heat of combustion: CO</t>
  </si>
  <si>
    <t>Heat of combustion: Syngas</t>
  </si>
  <si>
    <t>kj/mol</t>
  </si>
  <si>
    <t>Process input heat kJ/mol of Reverse WGS Syngas</t>
  </si>
  <si>
    <t>Heat of combustion: Diesel, LHV</t>
  </si>
  <si>
    <t>Heat of combution: Diesel, HHV</t>
  </si>
  <si>
    <t>Molar mass of diesel</t>
  </si>
  <si>
    <t>kg/mol</t>
  </si>
  <si>
    <t>Conversion constant</t>
  </si>
  <si>
    <t>MMBTU/MJ</t>
  </si>
  <si>
    <t>MJ/mol</t>
  </si>
  <si>
    <t>Heat of combustion: Diesel, HHV</t>
  </si>
  <si>
    <t>Mol H2 per mol product</t>
  </si>
  <si>
    <t>(https://www.sciencedirect.com/topics/engineering/diesel-fuel). Using this ratio assumes all products are diesel</t>
  </si>
  <si>
    <t>Mol CO per mol diesel</t>
  </si>
  <si>
    <t xml:space="preserve">(https://www.sciencedirect.com/topics/engineering/diesel-fuel). Using this ratio assumes all products are diesel </t>
  </si>
  <si>
    <t>Mol H2 per mol CO2 in Reverse WGS (CO2 + nH2 -&gt; CO + nH2O)</t>
  </si>
  <si>
    <t>Assumes 100% CO2 + H2 conversion to CO + H2O in Reverse WGS Rxn</t>
  </si>
  <si>
    <t>Mol H2 per mol CO in Syngas</t>
  </si>
  <si>
    <t>Assumes that 2:1 ratio of H2:CO in syngas from above holds true</t>
  </si>
  <si>
    <t>Mol CO2 per mol CO</t>
  </si>
  <si>
    <t>Input H2 mol per output mol of diesel</t>
  </si>
  <si>
    <t>Ratio of LHV of H2 to LHV of diesel</t>
  </si>
  <si>
    <t>Ratio of HHV of H2 to HHV of diesel</t>
  </si>
  <si>
    <t>Implied LHV efficiency via molar balance from input H2 and CO2 to Diesel product</t>
  </si>
  <si>
    <t>This is the implied LHV efficiency of the reaction if the reaction proceeeds with 100% efficiency. Less than unity due to reduction in efficiency from exothermic nature of H2 + CO2 -&gt; Diesel Reaction</t>
  </si>
  <si>
    <t>Implied HHV efficiency via molar balance from input H2 and CO2 to Diesel product</t>
  </si>
  <si>
    <t>This is the implied HHV efficiency of the reaction if the reaction proceeeds with 100% efficiency. Less than unity due to reduction in efficiency from exothermic nature of H2 + CO2 -&gt; Diesel Reaction</t>
  </si>
  <si>
    <t>Current efficiency of Conversion process, LHV basis</t>
  </si>
  <si>
    <t>See Table 4-2 says 45.6% in Zhu et al, but this includes inefficiencies due to biomass gasification. Using 70% carbon utilization efficiency and the max efficiency of 83% based on the ratio of HHV quoted in Zhu et al gives about the same number, so stick with this to be conservative.</t>
  </si>
  <si>
    <t>Future Efficiency of Conversion process, HHV basis</t>
  </si>
  <si>
    <t>This is derived from numbers for nuclear heat + natural gas -&gt; Gasoline used by Ruth et al. See table 5.</t>
  </si>
  <si>
    <t>Ratio of HHV efficiency to LHV efficiency</t>
  </si>
  <si>
    <t>Constant</t>
  </si>
  <si>
    <t>Ratio of LHV eff to HHV eff for Diesel</t>
  </si>
  <si>
    <t>Current efficiency of Conversion process normalized by max possible conversion, HHV basis</t>
  </si>
  <si>
    <t>Future Efficiency of Conversion process normalized by max possible conversion efficiency, HHV basis</t>
  </si>
  <si>
    <t>Utilization rate of reactants per mol of input CO in Syngas</t>
  </si>
  <si>
    <t xml:space="preserve">See Table 4-1, Zhu et al </t>
  </si>
  <si>
    <t xml:space="preserve">See Table 22, Hannula et al. This is about 90% in Ruth et al, so call it close enough.  </t>
  </si>
  <si>
    <t>NAS Report Assumptions - Liquid Sorbent DAC for 1MT CO2 capture per year</t>
  </si>
  <si>
    <t>Value</t>
  </si>
  <si>
    <t>Unit</t>
  </si>
  <si>
    <t>Reference and Assumption</t>
  </si>
  <si>
    <t>Conversion Constant</t>
  </si>
  <si>
    <t>GJ per MWh</t>
  </si>
  <si>
    <t>Days/Year</t>
  </si>
  <si>
    <t>CO2 Capture rate (kg Sequestered/kg Captured) - 98% purity</t>
  </si>
  <si>
    <t>NAS Report Assumes 0.75-0.98 tCO2 avoided per tCO2 captured, so choose 0.9 as higher range</t>
  </si>
  <si>
    <t>Energy Requirement</t>
  </si>
  <si>
    <t>Thermal input - Low</t>
  </si>
  <si>
    <t>MWh/tCO2 captured</t>
  </si>
  <si>
    <t>NAS Report 2018 lower bound - 7.7 GJ/tCO2</t>
  </si>
  <si>
    <t>Electrical input - Low</t>
  </si>
  <si>
    <t>NAS Report 2018 lower bound - 0.74 GJ/tCO2</t>
  </si>
  <si>
    <t xml:space="preserve">Thermal input - High </t>
  </si>
  <si>
    <t>NAS Report 2018 upper bound - 10.7 GJ/tCO2</t>
  </si>
  <si>
    <t>Electrical input - High</t>
  </si>
  <si>
    <t>NAS Report 2018 upper bound - 1.7 GJ/tCO2</t>
  </si>
  <si>
    <t xml:space="preserve">Low - Capital Cost of DAC System </t>
  </si>
  <si>
    <t>2018$ per MtCO2/yr Capture</t>
  </si>
  <si>
    <t>NAS Report - Lower bound CAPEX</t>
  </si>
  <si>
    <t xml:space="preserve">High - Capital Cost of DAC System </t>
  </si>
  <si>
    <t>NAS Report - Higher bound CAPEX</t>
  </si>
  <si>
    <t>Low VOM (maintenance, labor, makeup and waste removal)</t>
  </si>
  <si>
    <t>$M/MtCO2</t>
  </si>
  <si>
    <t xml:space="preserve">NAS Report </t>
  </si>
  <si>
    <t>High VOM (maintenance, labor, makeup and waste removal)</t>
  </si>
  <si>
    <t>FOM (fixed costs)</t>
  </si>
  <si>
    <t>$M/tCO2</t>
  </si>
  <si>
    <t>No data was provided, so put in placeholder</t>
  </si>
  <si>
    <t>Capital Recovery Factor</t>
  </si>
  <si>
    <t>year^-1</t>
  </si>
  <si>
    <t xml:space="preserve">Calculation </t>
  </si>
  <si>
    <t>Annualized Low Fixed Cost (w/o energy requirements)</t>
  </si>
  <si>
    <t>$/tCO2</t>
  </si>
  <si>
    <t>Annualized High Fixed Cost (w/o energy requirements)</t>
  </si>
  <si>
    <t xml:space="preserve">$/tCO2 </t>
  </si>
  <si>
    <t xml:space="preserve">Low - Total energy requirement </t>
  </si>
  <si>
    <t>High - Total energy requirement</t>
  </si>
  <si>
    <t xml:space="preserve">$/MWh </t>
  </si>
  <si>
    <t>FOM</t>
  </si>
  <si>
    <t>All Cases</t>
  </si>
  <si>
    <t>Electricity Input per kg Sequestered CO2</t>
  </si>
  <si>
    <t>kJ/kg CO2</t>
  </si>
  <si>
    <t>Heat Input per kg sequestered CO2</t>
  </si>
  <si>
    <t>CAPEX - includes oxy-fired calciner requiring natural gas</t>
  </si>
  <si>
    <t>$/ton/day</t>
  </si>
  <si>
    <t>Comparison of Clea's data to UCI's old Data (Not Used in Calc)</t>
  </si>
  <si>
    <t>UCI kJ el/kg Sequestered CO2</t>
  </si>
  <si>
    <t>UCI kJ heat/kg Sequestered CO2</t>
  </si>
  <si>
    <t>UCI "Optimistic" 2050 CapEx for DAC</t>
  </si>
  <si>
    <t>$/ton_CO2/day</t>
  </si>
  <si>
    <t>UCI "Conservative" 2050 CapEx for DAC</t>
  </si>
  <si>
    <t xml:space="preserve">Ratio of UCI data to Clea's assumed electricity, Optimistic </t>
  </si>
  <si>
    <t>Ratio of UCI data to Clea's assumed heat, Conservative</t>
  </si>
  <si>
    <t>Ratio of UCI data to Clea's Capital, Optimistc</t>
  </si>
  <si>
    <t>Ratio of UCI data to Clea's Capital, Conservative</t>
  </si>
  <si>
    <t>Technology Type</t>
  </si>
  <si>
    <t>Technology Info</t>
  </si>
  <si>
    <t>Author</t>
  </si>
  <si>
    <t>Source Info</t>
  </si>
  <si>
    <t>Instant cost ($/kW)</t>
  </si>
  <si>
    <t>FOM ($/kW-yr)</t>
  </si>
  <si>
    <t>VOM ($/MWh)</t>
  </si>
  <si>
    <t>HR (MMBtu/MWh)</t>
  </si>
  <si>
    <t>HR Degradation</t>
  </si>
  <si>
    <t>Capacity Degradation</t>
  </si>
  <si>
    <t>CO2 Cost ($/tonCO2/day)</t>
  </si>
  <si>
    <t>Energy for CO2 (kJ/kgCO2)</t>
  </si>
  <si>
    <t>Heat for CO2 (kJ/kgCO2)</t>
  </si>
  <si>
    <t>H2 production</t>
  </si>
  <si>
    <t>Schell et al.</t>
  </si>
  <si>
    <t>P2G NPV Model</t>
  </si>
  <si>
    <t>US DOE</t>
  </si>
  <si>
    <t>https://www.hydrogen.energy.gov/pdfs/16014_h2_production_cost_solid_oxide_electrolysis.pdf</t>
  </si>
  <si>
    <t>https://www.hydrogen.energy.gov/pdfs/review16/pd124_petri_2016_o.pdf</t>
  </si>
  <si>
    <t>Ouweltjes et al.</t>
  </si>
  <si>
    <t>http://ecst.ecsdl.org/content/7/1/933.full.pdf+html</t>
  </si>
  <si>
    <t>87, 95, 79</t>
  </si>
  <si>
    <t>Pan et al.</t>
  </si>
  <si>
    <t>https://www.scopus.com/record/display.uri?eid=2-s2.0-85012088626&amp;origin=resultslist&amp;sort=plf-f&amp;src=s&amp;st1=solid+oxide+electrolyzer+efficiency&amp;st2=&amp;sid=076434423864b2b7332086b93dded973&amp;sot=b&amp;sdt=b&amp;sl=50&amp;s=TITLE-ABS-KEY%28solid+oxide+electrolyzer+efficiency%29&amp;relpos=14&amp;citeCnt=5&amp;searchTerm=</t>
  </si>
  <si>
    <t>Paakkonen et al.</t>
  </si>
  <si>
    <t>https://www.sciencedirect.com/science/article/pii/S096014811730993X</t>
  </si>
  <si>
    <t>Millet et al.</t>
  </si>
  <si>
    <t>https://ac.els-cdn.com/S036031990901386X/1-s2.0-S036031990901386X-main.pdf?_tid=e0a9b69e-f267-11e7-a8e2-00000aab0f26&amp;acdnat=1515191542_13d8c3c07c64648fe495bd82eabc1e55</t>
  </si>
  <si>
    <t>71-72.5</t>
  </si>
  <si>
    <t>Gibson and Kelly</t>
  </si>
  <si>
    <t>https://ac.els-cdn.com/S0360319908006526/1-s2.0-S0360319908006526-main.pdf?_tid=34f77b36-f269-11e7-8ec9-00000aab0f6b&amp;acdnat=1515192113_8c2b6658f54ac8e40387d66460f0ef62</t>
  </si>
  <si>
    <t>75-77</t>
  </si>
  <si>
    <t>Siracusano et al.</t>
  </si>
  <si>
    <t>https://ac.els-cdn.com/S0360319910006166/1-s2.0-S0360319910006166-main.pdf?_tid=c550d6d6-f26a-11e7-a8e2-00000aab0f26&amp;acdnat=1515192785_223997b483ca71335ea72adfc609e413</t>
  </si>
  <si>
    <t>Bertuccioli et al.</t>
  </si>
  <si>
    <t>http://www.fch.europa.eu/sites/default/files/study%20electrolyser_0-Logos_0_0.pdf</t>
  </si>
  <si>
    <t>250-1270</t>
  </si>
  <si>
    <t>Hamdan</t>
  </si>
  <si>
    <t>https://www.osti.gov/scitech/servlets/purl/1091385</t>
  </si>
  <si>
    <t>Fraunhofer ISE et al.</t>
  </si>
  <si>
    <t>http://elib.dlr.de/94979/1/2014_DLR_ISE_KBB_LBST_PlanDelyKaD.pdf</t>
  </si>
  <si>
    <t>Godula-Jopek et al.</t>
  </si>
  <si>
    <t>http://onlinelibrary.wiley.com/doi/10.1002/9783527676507.ch2/summary</t>
  </si>
  <si>
    <t>Campanari et al.</t>
  </si>
  <si>
    <t>https://www.sciencedirect.com/science/article/pii/S0378775308018934</t>
  </si>
  <si>
    <t>60-90</t>
  </si>
  <si>
    <t>Bolat et al.</t>
  </si>
  <si>
    <t>http://www.sciencedirect.com/science/article/pii/S0360319914008623?via%3Dihub</t>
  </si>
  <si>
    <t>61-79</t>
  </si>
  <si>
    <t>Mansilla et al.</t>
  </si>
  <si>
    <t>http://www.sciencedirect.com/science/article/pii/S0360319914008623?via%3Dihub#bib214</t>
  </si>
  <si>
    <t>DOE H2A</t>
  </si>
  <si>
    <t>Krewitt and Schmid</t>
  </si>
  <si>
    <t>Heat Sink</t>
  </si>
  <si>
    <t>NRC</t>
  </si>
  <si>
    <t>GE</t>
  </si>
  <si>
    <t>http://apps.geindustrial.com/publibrary/checkout/GEA-13450A?TNR=Service%20and%20Maintenance|GEA-13450A|generic</t>
  </si>
  <si>
    <t>Steam turbine, 3,000 kW</t>
  </si>
  <si>
    <t>https://energy.gov/sites/prod/files/2016/09/f33/CHP-Steam%20Turbine.pdf</t>
  </si>
  <si>
    <t>Steam turbine, 15,000 kW</t>
  </si>
  <si>
    <t>Boiler, 1,000 HP</t>
  </si>
  <si>
    <t>Michigan</t>
  </si>
  <si>
    <t>https://www.michigan.gov/documents/Vol2-36UIP12MiscellaneousIndustrialCosts_121081_7.pdf</t>
  </si>
  <si>
    <t>Boiler, 6,000 HP</t>
  </si>
  <si>
    <t>CO2 Source</t>
  </si>
  <si>
    <t>E-CEM, Lockheed Martin</t>
  </si>
  <si>
    <t>Willauer et al.</t>
  </si>
  <si>
    <t>http://www.dtic.mil/cgi-bin/GetTRDoc?Location=U2&amp;doc=GetTRDoc.pdf&amp;AD=ADA539765</t>
  </si>
  <si>
    <t>E-CEM, Sea Solar Power</t>
  </si>
  <si>
    <t>E-CEM, CO2 only</t>
  </si>
  <si>
    <t>PCC, MEA, 500 MW</t>
  </si>
  <si>
    <t>Calera</t>
  </si>
  <si>
    <t>https://www.arb.ca.gov/cc/etaac/meetings/102909pubmeet/mtgmaterials102909/basicsofcaleraprocess.pdf</t>
  </si>
  <si>
    <t>PCC, Calera, 500 MW</t>
  </si>
  <si>
    <t>https://www.nap.edu/catalog/25259/negative-emissions-technologies-and-reliable-sequestration-a-research-agenda</t>
  </si>
  <si>
    <t>FT Liquids</t>
  </si>
  <si>
    <t>Plant Cost and Efficiency</t>
  </si>
  <si>
    <t>https://doi.org/10.1016/j.ijhydene.2015.01.097</t>
  </si>
  <si>
    <t>https://www.pnnl.gov/main/publications/external/technical_reports/pnnl-19009.pdf</t>
  </si>
  <si>
    <t>https://www.nrel.gov/docs/fy16osti/66073.pdf</t>
  </si>
  <si>
    <t>https://www.vtt.fi/inf/pdf/technology/2013/T91.pdf</t>
  </si>
  <si>
    <t>Chemistry Conversion Constants</t>
  </si>
  <si>
    <t>kJ CH4 / kg CH4 (HHV)</t>
  </si>
  <si>
    <t>kJ H2 / kg H2 (HHV)</t>
  </si>
  <si>
    <t>kJ Diesel/kg Diesel (HHV)</t>
  </si>
  <si>
    <t>kJ H2 / mol H2 (HHV)</t>
  </si>
  <si>
    <t>kJ CH4 / mol CH4 (HHV)</t>
  </si>
  <si>
    <t>kj Diesel/mol Diesel (HHV)</t>
  </si>
  <si>
    <t>kg H2/kmol H2</t>
  </si>
  <si>
    <t>kg CO2 / kmol CO2</t>
  </si>
  <si>
    <t>kg CH4 / kmol CH4</t>
  </si>
  <si>
    <t>Assumed Mols C per mol Diesel</t>
  </si>
  <si>
    <t>Assumed Mols H per mol Diesel</t>
  </si>
  <si>
    <t>kg Diesel/ kmol Diesel</t>
  </si>
  <si>
    <t>Mol H2 Reactant/Mol CH4 Product in Sabatier Rxn</t>
  </si>
  <si>
    <t>Mol H2 Reactant/Mol Diesel Product FT Rxn</t>
  </si>
  <si>
    <t>Cp, Water (kJ/kg-deg C)</t>
  </si>
  <si>
    <t>kJ heat rejected per mole Sabatier rxn</t>
  </si>
  <si>
    <t>kJ free heat rejected per mole FT rxn</t>
  </si>
  <si>
    <t>Other Conversion Constants</t>
  </si>
  <si>
    <t>kJ/kW-d</t>
  </si>
  <si>
    <t>kWh/GJ</t>
  </si>
  <si>
    <t>Assume ST Boiler Feedstock Water T, deg C</t>
  </si>
  <si>
    <t>Assumed H2O Tboil, deg C</t>
  </si>
  <si>
    <t>GJ/MMBTU</t>
  </si>
  <si>
    <t>Years</t>
  </si>
  <si>
    <t>Learning Rates</t>
  </si>
  <si>
    <t>Electricity Supply</t>
  </si>
  <si>
    <t>Input Energy Feedstock</t>
  </si>
  <si>
    <t>Products</t>
  </si>
  <si>
    <t>CO2 sources</t>
  </si>
  <si>
    <t>Heat sinks</t>
  </si>
  <si>
    <t>Heat Source</t>
  </si>
  <si>
    <t>Yes/No</t>
  </si>
  <si>
    <t>Solar Off Grid</t>
  </si>
  <si>
    <t>Steam turbine</t>
  </si>
  <si>
    <t>optimistic</t>
  </si>
  <si>
    <t>Solar On Grid</t>
  </si>
  <si>
    <t>Solar</t>
  </si>
  <si>
    <t>FONG Optimistic Off Grid Wind</t>
  </si>
  <si>
    <t>Wind</t>
  </si>
  <si>
    <t>Waste Heat</t>
  </si>
  <si>
    <t>Wind Off Grid</t>
  </si>
  <si>
    <t>SMR+CCS</t>
  </si>
  <si>
    <t>1 GJ = 0.947817 MMBTU</t>
  </si>
  <si>
    <t>2018$/Mmbtu of fuel output, total (HHV)</t>
  </si>
  <si>
    <t>With Storage</t>
  </si>
  <si>
    <t>With Storage and pipeline</t>
  </si>
  <si>
    <t>Production Cost</t>
  </si>
  <si>
    <t>FFI</t>
  </si>
  <si>
    <t>E3</t>
  </si>
  <si>
    <t>*Source-Bloomberg, October 2021</t>
  </si>
  <si>
    <t>Green</t>
  </si>
  <si>
    <t>Blue</t>
  </si>
  <si>
    <t>Direct Air Capture and Methanation</t>
  </si>
  <si>
    <t>Total Cost of Syngas</t>
  </si>
  <si>
    <t>Max Blending</t>
  </si>
  <si>
    <t>Max Hydrogen including pure hydrogen</t>
  </si>
  <si>
    <t>Alkaline Electrolysis Chinese ($/kg)</t>
  </si>
  <si>
    <t>PEM Electrolysis ($/kg)</t>
  </si>
  <si>
    <t>Alkaline Electrolysis Chinese ($/mmbtu)</t>
  </si>
  <si>
    <t>PEM Electrolysis ($/mmbtu)</t>
  </si>
  <si>
    <t>PEM Electrolysis - Chart ($/mmbtu)</t>
  </si>
  <si>
    <t>High ($/kg)</t>
  </si>
  <si>
    <t>Low ($/kg)</t>
  </si>
  <si>
    <t>High ($/mmbtu)</t>
  </si>
  <si>
    <t>Low ($/mmbtu)</t>
  </si>
  <si>
    <t>Average</t>
  </si>
  <si>
    <t xml:space="preserve">Syngas </t>
  </si>
  <si>
    <t>7% of Energy</t>
  </si>
  <si>
    <t>20% of Energy</t>
  </si>
  <si>
    <t>2018$/GJ</t>
  </si>
  <si>
    <t>2018$/MMBtu</t>
  </si>
  <si>
    <t>2022$/MMBtu</t>
  </si>
  <si>
    <t>2018 $/GJ</t>
  </si>
  <si>
    <t>Capital Cost</t>
  </si>
  <si>
    <t>O&amp;M</t>
  </si>
  <si>
    <t>Sources for Hydrogen in IRA:</t>
  </si>
  <si>
    <t>https://www.perkinscoie.com/en/news-insights/client-update-the-inflation-reduction-act-and-the-rise-of-clean-hydrogen.html</t>
  </si>
  <si>
    <t>Source: Woodmac Spring 2022</t>
  </si>
  <si>
    <t>From E3 Pathways worksheet:</t>
  </si>
  <si>
    <t>Using Max. PTC (assumes PTC extended)</t>
  </si>
  <si>
    <t>MMBtu (or Dth) per kg</t>
  </si>
  <si>
    <t>per MMBtu incentive</t>
  </si>
  <si>
    <t>Corporate tax rate</t>
  </si>
  <si>
    <t>years duration of PTC</t>
  </si>
  <si>
    <t>per kg H2 PTC incentive</t>
  </si>
  <si>
    <t>Inflation rate</t>
  </si>
  <si>
    <t>WACC</t>
  </si>
  <si>
    <t>NPV of PTC in 2024</t>
  </si>
  <si>
    <t>Life of Plant in Months</t>
  </si>
  <si>
    <t>Monthly PMT of PTC in 2024 ($/Dth)</t>
  </si>
  <si>
    <t>GJ to MMBtu (Dth)</t>
  </si>
  <si>
    <t>Gross PTC per Dth in 2023</t>
  </si>
  <si>
    <t>Gross PTC per Dth in 2024</t>
  </si>
  <si>
    <t>Inflation adjusted NPV in project start year</t>
  </si>
  <si>
    <t>Levelized PTC in project start year</t>
  </si>
  <si>
    <t>Green H2 without Max. PTC</t>
  </si>
  <si>
    <t>$/Dth</t>
  </si>
  <si>
    <t>PMT</t>
  </si>
  <si>
    <t>MDQ</t>
  </si>
  <si>
    <t>daily MDth</t>
  </si>
  <si>
    <t>Annual Cost</t>
  </si>
  <si>
    <t>Annual Dth</t>
  </si>
  <si>
    <t xml:space="preserve">Rate D1 </t>
  </si>
  <si>
    <t>Daily Cost</t>
  </si>
  <si>
    <t>Daily $</t>
  </si>
  <si>
    <t>Fixed Cost $/Dth/Day</t>
  </si>
  <si>
    <t>(Use Monthly Multiplier "DayPerMonth")</t>
  </si>
  <si>
    <t>Plant Capacity</t>
  </si>
  <si>
    <t>SENDOUT INPUTS:</t>
  </si>
  <si>
    <t>LEVELIZED PTC CALCULATION WITH TAX:</t>
  </si>
  <si>
    <t>Comparison of H2 with NG with CCA Expected Price:</t>
  </si>
  <si>
    <t>(assume PTC are extended at same rate through 2050)</t>
  </si>
  <si>
    <t xml:space="preserve">Maximum PTC $3.0/kG </t>
  </si>
  <si>
    <t>Green H2 Net Cost with Max. PTC</t>
  </si>
  <si>
    <t>Green H2 Cost</t>
  </si>
  <si>
    <t>East Side</t>
  </si>
  <si>
    <t>West Side</t>
  </si>
  <si>
    <t>PowerPlant East of Cascades Delivery Point</t>
  </si>
  <si>
    <t>PowerPlant West of Cascades Delivery Point</t>
  </si>
  <si>
    <t>Med</t>
  </si>
  <si>
    <t>YEAR</t>
  </si>
  <si>
    <t>Wood Mackenzie + PSE CPI Deflator</t>
  </si>
  <si>
    <t>Spring 2022</t>
  </si>
  <si>
    <t>DEFLATOR</t>
  </si>
  <si>
    <t>(2022=1.00)</t>
  </si>
  <si>
    <t>2016$</t>
  </si>
  <si>
    <t>2022$</t>
  </si>
  <si>
    <t>Rmx H2 2028</t>
  </si>
  <si>
    <t>Rmx H2 2030</t>
  </si>
  <si>
    <t>Rmx H2 2032</t>
  </si>
  <si>
    <t>2028</t>
  </si>
  <si>
    <t>2030</t>
  </si>
  <si>
    <t>2032</t>
  </si>
  <si>
    <t>Capital Costs: Levelized Electrolyzer Capital Cost, Pipeline, Storage, Blending and Interconnection.</t>
  </si>
  <si>
    <t>O&amp;M Costs: Electricity</t>
  </si>
  <si>
    <t>Cost in $/MMBtu for Green H2 with IRA PTCs</t>
  </si>
  <si>
    <t>This file contains confidential information</t>
  </si>
  <si>
    <t>Shaded information is designated as confidential per WAC 480-07-160</t>
  </si>
  <si>
    <t>REDACTED VERSION</t>
  </si>
  <si>
    <t>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</si>
</sst>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8" formatCode="&quot;$&quot;#,##0.00_);[Red]\(&quot;$&quot;#,##0.00\)"/>
    <numFmt numFmtId="44" formatCode="_(&quot;$&quot;* #,##0.00_);_(&quot;$&quot;* \(#,##0.00\);_(&quot;$&quot;* &quot;-&quot;??_);_(@_)"/>
    <numFmt numFmtId="43" formatCode="_(* #,##0.00_);_(* \(#,##0.00\);_(* &quot;-&quot;??_);_(@_)"/>
    <numFmt numFmtId="164" formatCode="_(* #,##0.0_);_(* \(#,##0.0\);_(* &quot;-&quot;??_);_(@_)"/>
    <numFmt numFmtId="165" formatCode="_(* #,##0_);_(* \(#,##0\);_(* &quot;-&quot;??_);_(@_)"/>
    <numFmt numFmtId="166" formatCode="_(* #,##0.000_);_(* \(#,##0.000\);_(* &quot;-&quot;??_);_(@_)"/>
    <numFmt numFmtId="167" formatCode="0.0"/>
    <numFmt numFmtId="168" formatCode="0.000"/>
    <numFmt numFmtId="169" formatCode="&quot;$&quot;#,##0.0000_);[Red]\(&quot;$&quot;#,##0.0000\)"/>
    <numFmt numFmtId="170" formatCode="_(&quot;$&quot;* #,##0.000_);_(&quot;$&quot;* \(#,##0.000\);_(&quot;$&quot;* &quot;-&quot;??_);_(@_)"/>
    <numFmt numFmtId="171" formatCode="&quot;$&quot;#,##0.000"/>
    <numFmt numFmtId="172" formatCode="_(&quot;$&quot;* #,##0.00000_);_(&quot;$&quot;* \(#,##0.00000\);_(&quot;$&quot;* &quot;-&quot;??_);_(@_)"/>
    <numFmt numFmtId="173" formatCode="0.0%"/>
    <numFmt numFmtId="174" formatCode="_(&quot;$&quot;* #,##0_);_(&quot;$&quot;* \(#,##0\);_(&quot;$&quot;* &quot;-&quot;??_);_(@_)"/>
    <numFmt numFmtId="175" formatCode="0.00000"/>
    <numFmt numFmtId="176" formatCode="&quot;$&quot;#,##0.00"/>
    <numFmt numFmtId="177" formatCode="&quot;$&quot;#,##0.0"/>
    <numFmt numFmtId="178" formatCode="_(* #,##0.000000_);_(* \(#,##0.000000\);_(* &quot;-&quot;??_);_(@_)"/>
    <numFmt numFmtId="179" formatCode="#,##0.0_);\-#,##0.0_);\-_)"/>
    <numFmt numFmtId="180" formatCode="&quot;$&quot;#,##0"/>
    <numFmt numFmtId="181" formatCode="0.0000"/>
  </numFmts>
  <fonts count="55" x14ac:knownFonts="1">
    <font>
      <sz val="9"/>
      <color theme="1"/>
      <name val="Arial"/>
      <family val="2"/>
    </font>
    <font>
      <sz val="11"/>
      <color theme="1"/>
      <name val="Arial"/>
      <family val="2"/>
      <scheme val="minor"/>
    </font>
    <font>
      <b/>
      <sz val="11"/>
      <color theme="1"/>
      <name val="Arial"/>
      <family val="2"/>
      <scheme val="minor"/>
    </font>
    <font>
      <sz val="11"/>
      <color rgb="FFFF0000"/>
      <name val="Arial"/>
      <family val="2"/>
      <scheme val="minor"/>
    </font>
    <font>
      <sz val="11"/>
      <name val="Arial"/>
      <family val="2"/>
      <scheme val="minor"/>
    </font>
    <font>
      <sz val="12"/>
      <color theme="1"/>
      <name val="Arial"/>
      <family val="2"/>
    </font>
    <font>
      <u/>
      <sz val="11"/>
      <color theme="11"/>
      <name val="Arial"/>
      <family val="2"/>
      <scheme val="minor"/>
    </font>
    <font>
      <b/>
      <sz val="11"/>
      <name val="Arial"/>
      <family val="2"/>
      <scheme val="minor"/>
    </font>
    <font>
      <sz val="10"/>
      <color rgb="FFFF0000"/>
      <name val="Arial"/>
      <family val="2"/>
      <scheme val="minor"/>
    </font>
    <font>
      <u/>
      <sz val="11"/>
      <color theme="1"/>
      <name val="Arial"/>
      <family val="2"/>
      <scheme val="minor"/>
    </font>
    <font>
      <sz val="11"/>
      <color rgb="FF222222"/>
      <name val="Arial"/>
      <family val="2"/>
    </font>
    <font>
      <sz val="9"/>
      <color rgb="FF9C0006"/>
      <name val="Arial"/>
      <family val="2"/>
      <scheme val="minor"/>
    </font>
    <font>
      <i/>
      <sz val="9"/>
      <name val="Arial"/>
      <family val="2"/>
      <scheme val="minor"/>
    </font>
    <font>
      <b/>
      <sz val="9"/>
      <color theme="0"/>
      <name val="Arial"/>
      <family val="2"/>
      <scheme val="minor"/>
    </font>
    <font>
      <sz val="10"/>
      <color theme="1"/>
      <name val="Arial"/>
      <family val="2"/>
      <scheme val="minor"/>
    </font>
    <font>
      <sz val="9"/>
      <color theme="1"/>
      <name val="Arial"/>
      <family val="2"/>
    </font>
    <font>
      <sz val="9"/>
      <name val="Arial"/>
      <family val="2"/>
      <scheme val="minor"/>
    </font>
    <font>
      <i/>
      <sz val="9"/>
      <color theme="1" tint="0.499984740745262"/>
      <name val="Arial"/>
      <family val="2"/>
      <scheme val="minor"/>
    </font>
    <font>
      <sz val="9"/>
      <color rgb="FF006100"/>
      <name val="Arial"/>
      <family val="2"/>
      <scheme val="minor"/>
    </font>
    <font>
      <b/>
      <sz val="14"/>
      <name val="Arial"/>
      <family val="2"/>
      <scheme val="minor"/>
    </font>
    <font>
      <b/>
      <sz val="13"/>
      <color theme="4"/>
      <name val="Arial"/>
      <family val="2"/>
      <scheme val="minor"/>
    </font>
    <font>
      <b/>
      <sz val="11"/>
      <color theme="4"/>
      <name val="Arial"/>
      <family val="2"/>
      <scheme val="minor"/>
    </font>
    <font>
      <b/>
      <i/>
      <sz val="10"/>
      <color theme="4"/>
      <name val="Arial"/>
      <family val="2"/>
      <scheme val="minor"/>
    </font>
    <font>
      <b/>
      <i/>
      <u/>
      <sz val="9"/>
      <color theme="9"/>
      <name val="Arial"/>
      <family val="2"/>
    </font>
    <font>
      <sz val="9"/>
      <color rgb="FFE85F31"/>
      <name val="Arial"/>
      <family val="2"/>
      <scheme val="minor"/>
    </font>
    <font>
      <sz val="9"/>
      <color rgb="FF9C5700"/>
      <name val="Arial"/>
      <family val="2"/>
      <scheme val="minor"/>
    </font>
    <font>
      <b/>
      <i/>
      <sz val="9"/>
      <color theme="1"/>
      <name val="Arial"/>
      <family val="2"/>
    </font>
    <font>
      <b/>
      <sz val="10"/>
      <color theme="0"/>
      <name val="Arial"/>
      <family val="2"/>
    </font>
    <font>
      <sz val="9"/>
      <name val="Arial"/>
      <family val="2"/>
    </font>
    <font>
      <b/>
      <sz val="22"/>
      <color theme="4"/>
      <name val="Arial"/>
      <family val="2"/>
      <scheme val="major"/>
    </font>
    <font>
      <b/>
      <sz val="9"/>
      <color theme="1"/>
      <name val="Arial"/>
      <family val="2"/>
      <scheme val="minor"/>
    </font>
    <font>
      <b/>
      <i/>
      <sz val="9"/>
      <color theme="6" tint="-0.24994659260841701"/>
      <name val="Arial"/>
      <family val="2"/>
      <scheme val="minor"/>
    </font>
    <font>
      <b/>
      <sz val="9"/>
      <color theme="1"/>
      <name val="Arial"/>
      <family val="2"/>
    </font>
    <font>
      <b/>
      <i/>
      <sz val="9"/>
      <name val="Arial"/>
      <family val="2"/>
      <scheme val="minor"/>
    </font>
    <font>
      <i/>
      <sz val="9"/>
      <color theme="1"/>
      <name val="Arial"/>
      <family val="2"/>
    </font>
    <font>
      <i/>
      <sz val="9"/>
      <color theme="1" tint="0.34998626667073579"/>
      <name val="Arial"/>
      <family val="2"/>
    </font>
    <font>
      <sz val="18"/>
      <color rgb="FF444444"/>
      <name val="Segoe UI"/>
      <family val="2"/>
    </font>
    <font>
      <sz val="10"/>
      <name val="Arial"/>
      <family val="2"/>
    </font>
    <font>
      <sz val="10"/>
      <name val="Arial"/>
      <family val="2"/>
      <scheme val="minor"/>
    </font>
    <font>
      <i/>
      <sz val="9"/>
      <color theme="6" tint="-0.249977111117893"/>
      <name val="Arial"/>
      <family val="2"/>
      <scheme val="minor"/>
    </font>
    <font>
      <sz val="14"/>
      <color theme="1"/>
      <name val="Arial"/>
      <family val="2"/>
    </font>
    <font>
      <sz val="14"/>
      <color theme="9" tint="-0.249977111117893"/>
      <name val="Arial"/>
      <family val="2"/>
    </font>
    <font>
      <b/>
      <sz val="9"/>
      <color indexed="29"/>
      <name val="Arial"/>
      <family val="2"/>
    </font>
    <font>
      <sz val="9"/>
      <color indexed="29"/>
      <name val="Arial"/>
      <family val="2"/>
    </font>
    <font>
      <sz val="12"/>
      <color theme="0"/>
      <name val="Arial"/>
      <family val="2"/>
    </font>
    <font>
      <b/>
      <sz val="12"/>
      <color theme="9" tint="0.39997558519241921"/>
      <name val="Arial"/>
      <family val="2"/>
    </font>
    <font>
      <i/>
      <sz val="12"/>
      <color theme="9" tint="-0.249977111117893"/>
      <name val="Arial"/>
      <family val="2"/>
    </font>
    <font>
      <i/>
      <sz val="10"/>
      <color rgb="FF0070C0"/>
      <name val="Arial"/>
      <family val="2"/>
    </font>
    <font>
      <b/>
      <sz val="14"/>
      <color theme="9" tint="-0.249977111117893"/>
      <name val="Arial"/>
      <family val="2"/>
    </font>
    <font>
      <b/>
      <sz val="12"/>
      <color theme="1"/>
      <name val="Arial"/>
      <family val="2"/>
    </font>
    <font>
      <b/>
      <sz val="10"/>
      <color theme="4" tint="-0.249977111117893"/>
      <name val="Arial"/>
      <family val="2"/>
    </font>
    <font>
      <b/>
      <sz val="10"/>
      <color theme="1"/>
      <name val="Arial"/>
      <family val="2"/>
    </font>
    <font>
      <b/>
      <i/>
      <sz val="12"/>
      <color theme="1"/>
      <name val="Arial"/>
      <family val="2"/>
    </font>
    <font>
      <sz val="20"/>
      <color theme="1"/>
      <name val="Arial"/>
      <family val="2"/>
      <scheme val="minor"/>
    </font>
    <font>
      <b/>
      <sz val="20"/>
      <color theme="1"/>
      <name val="Arial"/>
      <family val="2"/>
    </font>
  </fonts>
  <fills count="31">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4"/>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39994506668294322"/>
        <bgColor indexed="64"/>
      </patternFill>
    </fill>
    <fill>
      <patternFill patternType="solid">
        <fgColor theme="3"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59999389629810485"/>
        <bgColor indexed="64"/>
      </patternFill>
    </fill>
    <fill>
      <patternFill patternType="solid">
        <fgColor rgb="FF00B0F0"/>
        <bgColor indexed="64"/>
      </patternFill>
    </fill>
    <fill>
      <patternFill patternType="solid">
        <fgColor rgb="FF92D050"/>
        <bgColor indexed="64"/>
      </patternFill>
    </fill>
    <fill>
      <patternFill patternType="solid">
        <fgColor indexed="25"/>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C6600"/>
        <bgColor indexed="64"/>
      </patternFill>
    </fill>
    <fill>
      <patternFill patternType="solid">
        <fgColor theme="0" tint="-0.249977111117893"/>
        <bgColor indexed="64"/>
      </patternFill>
    </fill>
    <fill>
      <patternFill patternType="solid">
        <fgColor theme="0" tint="-0.14999847407452621"/>
        <bgColor indexed="64"/>
      </patternFill>
    </fill>
  </fills>
  <borders count="54">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indexed="64"/>
      </bottom>
      <diagonal/>
    </border>
    <border>
      <left/>
      <right/>
      <top/>
      <bottom style="medium">
        <color theme="4"/>
      </bottom>
      <diagonal/>
    </border>
    <border>
      <left/>
      <right/>
      <top/>
      <bottom style="medium">
        <color theme="4" tint="0.39994506668294322"/>
      </bottom>
      <diagonal/>
    </border>
    <border>
      <left/>
      <right/>
      <top/>
      <bottom style="medium">
        <color theme="3" tint="0.39994506668294322"/>
      </bottom>
      <diagonal/>
    </border>
    <border>
      <left style="thin">
        <color theme="4"/>
      </left>
      <right style="thin">
        <color theme="4"/>
      </right>
      <top style="thin">
        <color theme="4"/>
      </top>
      <bottom style="thin">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4"/>
      </left>
      <right style="thin">
        <color theme="4"/>
      </right>
      <top/>
      <bottom/>
      <diagonal/>
    </border>
    <border>
      <left style="thin">
        <color theme="0" tint="-0.499984740745262"/>
      </left>
      <right style="thin">
        <color theme="0" tint="-0.499984740745262"/>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28"/>
      </left>
      <right/>
      <top/>
      <bottom style="thin">
        <color indexed="2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37">
    <xf numFmtId="0" fontId="0" fillId="0" borderId="0">
      <alignment vertical="center"/>
    </xf>
    <xf numFmtId="43" fontId="14" fillId="0" borderId="0" applyFont="0" applyFill="0" applyBorder="0" applyAlignment="0">
      <protection locked="0"/>
    </xf>
    <xf numFmtId="0" fontId="23" fillId="14" borderId="16" applyNumberFormat="0" applyProtection="0">
      <alignment vertical="center"/>
    </xf>
    <xf numFmtId="44" fontId="15" fillId="0" borderId="0" applyFont="0" applyFill="0" applyBorder="0" applyAlignment="0">
      <protection locked="0"/>
    </xf>
    <xf numFmtId="9" fontId="14" fillId="0" borderId="0" applyFont="0" applyFill="0" applyBorder="0" applyAlignment="0">
      <protection locked="0"/>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9" fillId="0" borderId="18" applyNumberFormat="0" applyAlignment="0"/>
    <xf numFmtId="0" fontId="19" fillId="0" borderId="17" applyNumberFormat="0" applyAlignment="0"/>
    <xf numFmtId="0" fontId="20" fillId="0" borderId="18" applyNumberFormat="0" applyAlignment="0">
      <alignment vertical="center"/>
    </xf>
    <xf numFmtId="0" fontId="21" fillId="0" borderId="19" applyNumberFormat="0" applyAlignment="0"/>
    <xf numFmtId="0" fontId="22" fillId="0" borderId="20" applyNumberFormat="0" applyAlignment="0"/>
    <xf numFmtId="0" fontId="18" fillId="7" borderId="0" applyNumberFormat="0" applyBorder="0" applyProtection="0">
      <alignment vertical="center"/>
    </xf>
    <xf numFmtId="0" fontId="11" fillId="8" borderId="0" applyNumberFormat="0" applyBorder="0" applyProtection="0">
      <alignment vertical="center"/>
    </xf>
    <xf numFmtId="0" fontId="25" fillId="9" borderId="0" applyNumberFormat="0" applyBorder="0" applyProtection="0">
      <alignment vertical="center"/>
    </xf>
    <xf numFmtId="0" fontId="16" fillId="2" borderId="16" applyNumberFormat="0">
      <alignment vertical="center"/>
    </xf>
    <xf numFmtId="0" fontId="12" fillId="5" borderId="16" applyNumberFormat="0">
      <alignment vertical="center"/>
    </xf>
    <xf numFmtId="0" fontId="12" fillId="11" borderId="16" applyNumberFormat="0">
      <alignment vertical="center"/>
    </xf>
    <xf numFmtId="0" fontId="24" fillId="0" borderId="13" applyNumberFormat="0">
      <alignment vertical="center"/>
    </xf>
    <xf numFmtId="0" fontId="13" fillId="10" borderId="14" applyNumberFormat="0">
      <alignment vertical="center"/>
    </xf>
    <xf numFmtId="0" fontId="31" fillId="0" borderId="0" applyNumberFormat="0" applyFill="0" applyBorder="0">
      <alignment vertical="center"/>
    </xf>
    <xf numFmtId="0" fontId="26" fillId="15" borderId="16" applyNumberFormat="0">
      <alignment vertical="center"/>
    </xf>
    <xf numFmtId="0" fontId="17" fillId="0" borderId="0" applyNumberFormat="0" applyFill="0" applyBorder="0" applyAlignment="0"/>
    <xf numFmtId="0" fontId="30" fillId="0" borderId="15" applyNumberFormat="0">
      <alignment vertical="center"/>
    </xf>
    <xf numFmtId="0" fontId="12" fillId="12" borderId="16" applyNumberFormat="0">
      <alignment vertical="center"/>
    </xf>
    <xf numFmtId="22" fontId="15" fillId="0" borderId="0" applyFont="0" applyFill="0" applyBorder="0" applyProtection="0">
      <alignment vertical="center"/>
      <protection locked="0"/>
    </xf>
    <xf numFmtId="174" fontId="15" fillId="0" borderId="0" applyFont="0" applyFill="0" applyBorder="0" applyProtection="0">
      <alignment vertical="center"/>
      <protection locked="0"/>
    </xf>
    <xf numFmtId="0" fontId="16" fillId="13" borderId="16" applyNumberFormat="0">
      <alignment vertical="center"/>
    </xf>
    <xf numFmtId="0" fontId="27" fillId="4" borderId="21" applyNumberFormat="0">
      <alignment vertical="center"/>
    </xf>
    <xf numFmtId="0" fontId="15" fillId="16" borderId="16" applyNumberFormat="0">
      <alignment vertical="center"/>
    </xf>
    <xf numFmtId="0" fontId="15" fillId="17" borderId="16" applyAlignment="0">
      <alignment horizontal="left"/>
    </xf>
    <xf numFmtId="0" fontId="28" fillId="0" borderId="16" applyNumberFormat="0">
      <alignment vertical="center"/>
    </xf>
    <xf numFmtId="0" fontId="27" fillId="4" borderId="28" applyNumberFormat="0" applyBorder="0">
      <alignment horizontal="center" vertical="center" wrapText="1"/>
    </xf>
    <xf numFmtId="0" fontId="15" fillId="18" borderId="16" applyNumberFormat="0">
      <alignment horizontal="center" vertical="center"/>
      <protection locked="0"/>
    </xf>
    <xf numFmtId="0" fontId="34" fillId="5" borderId="16" applyNumberFormat="0">
      <alignment horizontal="left" vertical="center"/>
    </xf>
    <xf numFmtId="0" fontId="15" fillId="16" borderId="16">
      <alignment horizontal="left" vertical="center"/>
    </xf>
    <xf numFmtId="0" fontId="1" fillId="0" borderId="0"/>
    <xf numFmtId="0" fontId="37" fillId="0" borderId="0"/>
    <xf numFmtId="179" fontId="42" fillId="24" borderId="34" applyBorder="0">
      <alignment horizontal="right" vertical="top" wrapText="1"/>
    </xf>
    <xf numFmtId="179" fontId="43" fillId="24" borderId="0" applyFont="0" applyBorder="0" applyAlignment="0">
      <alignment vertical="top" wrapText="1"/>
    </xf>
  </cellStyleXfs>
  <cellXfs count="296">
    <xf numFmtId="0" fontId="0" fillId="0" borderId="0" xfId="0">
      <alignment vertical="center"/>
    </xf>
    <xf numFmtId="0" fontId="19" fillId="0" borderId="17" xfId="105" applyAlignment="1">
      <alignment vertical="center"/>
    </xf>
    <xf numFmtId="0" fontId="29" fillId="0" borderId="18" xfId="104" applyAlignment="1">
      <alignment vertical="center"/>
    </xf>
    <xf numFmtId="0" fontId="0" fillId="0" borderId="0" xfId="0" applyAlignment="1">
      <alignment wrapText="1" shrinkToFit="1"/>
    </xf>
    <xf numFmtId="2" fontId="0" fillId="0" borderId="0" xfId="0" applyNumberFormat="1">
      <alignment vertical="center"/>
    </xf>
    <xf numFmtId="0" fontId="0" fillId="0" borderId="0" xfId="0" applyAlignment="1"/>
    <xf numFmtId="0" fontId="2" fillId="0" borderId="0" xfId="0" applyFont="1">
      <alignment vertical="center"/>
    </xf>
    <xf numFmtId="0" fontId="3" fillId="0" borderId="0" xfId="0" applyFont="1">
      <alignment vertical="center"/>
    </xf>
    <xf numFmtId="0" fontId="0" fillId="0" borderId="0" xfId="0">
      <alignment vertical="center"/>
    </xf>
    <xf numFmtId="0" fontId="0" fillId="0" borderId="0" xfId="0" applyFill="1">
      <alignment vertical="center"/>
    </xf>
    <xf numFmtId="11" fontId="0" fillId="0" borderId="0" xfId="0" applyNumberFormat="1">
      <alignment vertical="center"/>
    </xf>
    <xf numFmtId="11" fontId="0" fillId="0" borderId="0" xfId="0" applyNumberFormat="1" applyFill="1">
      <alignment vertical="center"/>
    </xf>
    <xf numFmtId="1" fontId="0" fillId="0" borderId="0" xfId="0" applyNumberFormat="1">
      <alignment vertical="center"/>
    </xf>
    <xf numFmtId="167" fontId="0" fillId="0" borderId="0" xfId="0" applyNumberFormat="1">
      <alignment vertical="center"/>
    </xf>
    <xf numFmtId="9" fontId="0" fillId="0" borderId="0" xfId="4" applyFont="1">
      <protection locked="0"/>
    </xf>
    <xf numFmtId="43" fontId="0" fillId="0" borderId="0" xfId="0" applyNumberFormat="1">
      <alignment vertical="center"/>
    </xf>
    <xf numFmtId="0" fontId="4" fillId="0" borderId="0" xfId="0" applyFont="1">
      <alignment vertical="center"/>
    </xf>
    <xf numFmtId="0" fontId="7" fillId="0" borderId="0" xfId="0" applyFont="1">
      <alignment vertical="center"/>
    </xf>
    <xf numFmtId="0" fontId="4" fillId="0" borderId="7" xfId="0" applyFont="1" applyBorder="1">
      <alignment vertical="center"/>
    </xf>
    <xf numFmtId="0" fontId="4" fillId="0" borderId="1" xfId="0" applyFont="1" applyBorder="1">
      <alignment vertical="center"/>
    </xf>
    <xf numFmtId="11" fontId="4" fillId="0" borderId="2" xfId="0" applyNumberFormat="1" applyFont="1" applyBorder="1">
      <alignment vertical="center"/>
    </xf>
    <xf numFmtId="0" fontId="4" fillId="0" borderId="3" xfId="0" applyFont="1" applyBorder="1">
      <alignment vertical="center"/>
    </xf>
    <xf numFmtId="11" fontId="4" fillId="0" borderId="4" xfId="0" applyNumberFormat="1"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3" xfId="0" applyFont="1" applyFill="1" applyBorder="1">
      <alignment vertical="center"/>
    </xf>
    <xf numFmtId="0" fontId="4" fillId="0" borderId="4" xfId="0" applyFont="1" applyFill="1" applyBorder="1">
      <alignment vertical="center"/>
    </xf>
    <xf numFmtId="166" fontId="4" fillId="0" borderId="0" xfId="0" applyNumberFormat="1" applyFont="1">
      <alignment vertical="center"/>
    </xf>
    <xf numFmtId="169" fontId="0" fillId="0" borderId="0" xfId="0" applyNumberFormat="1">
      <alignment vertical="center"/>
    </xf>
    <xf numFmtId="9" fontId="0" fillId="0" borderId="0" xfId="0" applyNumberFormat="1">
      <alignment vertical="center"/>
    </xf>
    <xf numFmtId="0" fontId="9" fillId="0" borderId="0" xfId="0" applyFont="1">
      <alignment vertical="center"/>
    </xf>
    <xf numFmtId="0" fontId="0" fillId="3" borderId="0" xfId="0" applyFill="1">
      <alignment vertical="center"/>
    </xf>
    <xf numFmtId="0" fontId="10" fillId="0" borderId="0" xfId="0" applyFont="1">
      <alignment vertical="center"/>
    </xf>
    <xf numFmtId="1" fontId="4" fillId="0" borderId="4" xfId="0" applyNumberFormat="1" applyFont="1" applyBorder="1">
      <alignment vertical="center"/>
    </xf>
    <xf numFmtId="2" fontId="4" fillId="0" borderId="4" xfId="0" applyNumberFormat="1" applyFont="1" applyBorder="1">
      <alignment vertical="center"/>
    </xf>
    <xf numFmtId="9" fontId="0" fillId="3" borderId="0" xfId="4" applyNumberFormat="1" applyFont="1" applyFill="1">
      <protection locked="0"/>
    </xf>
    <xf numFmtId="173" fontId="0" fillId="0" borderId="0" xfId="4" applyNumberFormat="1" applyFont="1">
      <protection locked="0"/>
    </xf>
    <xf numFmtId="0" fontId="2" fillId="0" borderId="0" xfId="0" applyFont="1" applyAlignment="1"/>
    <xf numFmtId="173" fontId="0" fillId="0" borderId="0" xfId="0" applyNumberFormat="1">
      <alignment vertical="center"/>
    </xf>
    <xf numFmtId="174" fontId="0" fillId="0" borderId="0" xfId="3" applyNumberFormat="1" applyFont="1">
      <protection locked="0"/>
    </xf>
    <xf numFmtId="44" fontId="0" fillId="0" borderId="0" xfId="0" applyNumberFormat="1">
      <alignment vertical="center"/>
    </xf>
    <xf numFmtId="0" fontId="0" fillId="0" borderId="0" xfId="0" applyBorder="1">
      <alignment vertical="center"/>
    </xf>
    <xf numFmtId="0" fontId="3" fillId="0" borderId="0" xfId="0" applyFont="1" applyBorder="1">
      <alignment vertical="center"/>
    </xf>
    <xf numFmtId="0" fontId="8" fillId="0" borderId="0" xfId="0" applyFont="1" applyBorder="1">
      <alignment vertical="center"/>
    </xf>
    <xf numFmtId="0" fontId="2" fillId="0" borderId="0" xfId="0" applyFont="1" applyBorder="1">
      <alignment vertical="center"/>
    </xf>
    <xf numFmtId="0" fontId="2" fillId="0" borderId="0" xfId="0" applyFont="1" applyBorder="1" applyAlignment="1">
      <alignment wrapText="1"/>
    </xf>
    <xf numFmtId="9" fontId="0" fillId="0" borderId="0" xfId="0" applyNumberFormat="1" applyBorder="1">
      <alignment vertical="center"/>
    </xf>
    <xf numFmtId="171" fontId="0" fillId="0" borderId="0" xfId="0" applyNumberFormat="1" applyBorder="1">
      <alignment vertical="center"/>
    </xf>
    <xf numFmtId="0" fontId="0" fillId="0" borderId="0" xfId="0" applyFill="1" applyBorder="1">
      <alignment vertical="center"/>
    </xf>
    <xf numFmtId="0" fontId="3" fillId="0" borderId="0" xfId="0" applyFont="1" applyFill="1" applyBorder="1">
      <alignment vertical="center"/>
    </xf>
    <xf numFmtId="172" fontId="8" fillId="0" borderId="0" xfId="0" applyNumberFormat="1" applyFont="1" applyFill="1" applyBorder="1">
      <alignment vertical="center"/>
    </xf>
    <xf numFmtId="0" fontId="2" fillId="0" borderId="0" xfId="0" applyFont="1" applyFill="1" applyBorder="1">
      <alignment vertical="center"/>
    </xf>
    <xf numFmtId="170" fontId="0" fillId="0" borderId="0" xfId="3" applyNumberFormat="1" applyFont="1" applyFill="1" applyBorder="1">
      <protection locked="0"/>
    </xf>
    <xf numFmtId="0" fontId="0" fillId="0" borderId="0" xfId="0" applyFont="1">
      <alignment vertical="center"/>
    </xf>
    <xf numFmtId="0" fontId="4" fillId="0" borderId="2" xfId="0" applyFont="1" applyBorder="1">
      <alignment vertical="center"/>
    </xf>
    <xf numFmtId="0" fontId="8" fillId="0" borderId="0" xfId="0" applyFont="1">
      <alignment vertical="center"/>
    </xf>
    <xf numFmtId="43" fontId="0" fillId="0" borderId="0" xfId="0" applyNumberFormat="1" applyBorder="1">
      <alignment vertical="center"/>
    </xf>
    <xf numFmtId="164" fontId="0" fillId="0" borderId="0" xfId="0" applyNumberFormat="1" applyBorder="1">
      <alignment vertical="center"/>
    </xf>
    <xf numFmtId="1" fontId="4" fillId="0" borderId="6" xfId="0" applyNumberFormat="1" applyFont="1" applyBorder="1">
      <alignment vertical="center"/>
    </xf>
    <xf numFmtId="164" fontId="0" fillId="0" borderId="0" xfId="1" applyNumberFormat="1" applyFont="1">
      <protection locked="0"/>
    </xf>
    <xf numFmtId="2" fontId="2" fillId="0" borderId="0" xfId="0" applyNumberFormat="1" applyFont="1">
      <alignment vertical="center"/>
    </xf>
    <xf numFmtId="0" fontId="0" fillId="5" borderId="8" xfId="0" applyFill="1" applyBorder="1">
      <alignment vertical="center"/>
    </xf>
    <xf numFmtId="2" fontId="0" fillId="5" borderId="0" xfId="0" applyNumberFormat="1" applyFill="1">
      <alignment vertical="center"/>
    </xf>
    <xf numFmtId="0" fontId="0" fillId="5" borderId="0" xfId="0" applyFill="1">
      <alignment vertical="center"/>
    </xf>
    <xf numFmtId="0" fontId="0" fillId="6" borderId="8" xfId="0" applyFill="1" applyBorder="1">
      <alignment vertical="center"/>
    </xf>
    <xf numFmtId="2" fontId="0" fillId="6" borderId="0" xfId="0" applyNumberFormat="1" applyFill="1">
      <alignment vertical="center"/>
    </xf>
    <xf numFmtId="0" fontId="0" fillId="6" borderId="0" xfId="0" applyFill="1">
      <alignment vertical="center"/>
    </xf>
    <xf numFmtId="1" fontId="0" fillId="5" borderId="0" xfId="0" applyNumberFormat="1" applyFill="1">
      <alignment vertical="center"/>
    </xf>
    <xf numFmtId="165" fontId="0" fillId="5" borderId="0" xfId="1" applyNumberFormat="1" applyFont="1" applyFill="1">
      <protection locked="0"/>
    </xf>
    <xf numFmtId="165" fontId="0" fillId="6" borderId="0" xfId="1" applyNumberFormat="1" applyFont="1" applyFill="1">
      <protection locked="0"/>
    </xf>
    <xf numFmtId="0" fontId="0" fillId="6" borderId="9" xfId="0" applyFill="1" applyBorder="1">
      <alignment vertical="center"/>
    </xf>
    <xf numFmtId="165" fontId="0" fillId="6" borderId="10" xfId="0" applyNumberFormat="1" applyFill="1" applyBorder="1">
      <alignment vertical="center"/>
    </xf>
    <xf numFmtId="0" fontId="0" fillId="6" borderId="10" xfId="0" applyFill="1" applyBorder="1">
      <alignment vertical="center"/>
    </xf>
    <xf numFmtId="168" fontId="0" fillId="6" borderId="0" xfId="0" applyNumberFormat="1" applyFill="1">
      <alignment vertical="center"/>
    </xf>
    <xf numFmtId="0" fontId="0" fillId="5" borderId="0" xfId="0" applyFill="1" applyBorder="1">
      <alignment vertical="center"/>
    </xf>
    <xf numFmtId="0" fontId="0" fillId="6" borderId="0" xfId="0" applyFill="1" applyBorder="1">
      <alignment vertical="center"/>
    </xf>
    <xf numFmtId="0" fontId="0" fillId="5" borderId="0" xfId="0" applyFill="1" applyAlignment="1"/>
    <xf numFmtId="165" fontId="0" fillId="6" borderId="0" xfId="1" applyNumberFormat="1" applyFont="1" applyFill="1" applyAlignment="1">
      <protection locked="0"/>
    </xf>
    <xf numFmtId="168" fontId="0" fillId="0" borderId="0" xfId="0" applyNumberFormat="1">
      <alignment vertical="center"/>
    </xf>
    <xf numFmtId="168" fontId="5" fillId="0" borderId="0" xfId="0" applyNumberFormat="1" applyFont="1">
      <alignment vertical="center"/>
    </xf>
    <xf numFmtId="0" fontId="4" fillId="0" borderId="11" xfId="0" applyFont="1" applyFill="1" applyBorder="1">
      <alignment vertical="center"/>
    </xf>
    <xf numFmtId="0" fontId="0" fillId="0" borderId="12" xfId="0" applyBorder="1">
      <alignment vertical="center"/>
    </xf>
    <xf numFmtId="0" fontId="17" fillId="0" borderId="0" xfId="119" applyAlignment="1">
      <alignment vertical="center"/>
    </xf>
    <xf numFmtId="14" fontId="17" fillId="0" borderId="0" xfId="119" applyNumberFormat="1" applyAlignment="1">
      <alignment vertical="center"/>
    </xf>
    <xf numFmtId="0" fontId="0" fillId="0" borderId="0" xfId="0" applyAlignment="1">
      <alignment horizontal="left" vertical="center" indent="2"/>
    </xf>
    <xf numFmtId="0" fontId="0" fillId="0" borderId="0" xfId="0" applyAlignment="1">
      <alignment horizontal="left" vertical="center"/>
    </xf>
    <xf numFmtId="0" fontId="32" fillId="0" borderId="0" xfId="0" applyFont="1">
      <alignment vertical="center"/>
    </xf>
    <xf numFmtId="0" fontId="0" fillId="0" borderId="0" xfId="0" applyAlignment="1">
      <alignment horizontal="left" vertical="center" indent="3"/>
    </xf>
    <xf numFmtId="0" fontId="0" fillId="0" borderId="0" xfId="0" applyAlignment="1">
      <alignment horizontal="left" vertical="center" indent="4"/>
    </xf>
    <xf numFmtId="0" fontId="26" fillId="0" borderId="0" xfId="0" applyFont="1" applyAlignment="1">
      <alignment horizontal="left" vertical="center" indent="3"/>
    </xf>
    <xf numFmtId="0" fontId="20" fillId="0" borderId="18" xfId="106">
      <alignment vertical="center"/>
    </xf>
    <xf numFmtId="0" fontId="27" fillId="4" borderId="21" xfId="125">
      <alignment vertical="center"/>
    </xf>
    <xf numFmtId="0" fontId="28" fillId="0" borderId="16" xfId="128">
      <alignment vertical="center"/>
    </xf>
    <xf numFmtId="2" fontId="28" fillId="0" borderId="16" xfId="128" applyNumberFormat="1">
      <alignment vertical="center"/>
    </xf>
    <xf numFmtId="11" fontId="28" fillId="0" borderId="16" xfId="128" applyNumberFormat="1">
      <alignment vertical="center"/>
    </xf>
    <xf numFmtId="43" fontId="28" fillId="0" borderId="16" xfId="128" applyNumberFormat="1">
      <alignment vertical="center"/>
    </xf>
    <xf numFmtId="0" fontId="15" fillId="16" borderId="16" xfId="126">
      <alignment vertical="center"/>
    </xf>
    <xf numFmtId="0" fontId="0" fillId="0" borderId="0" xfId="0" applyAlignment="1">
      <alignment horizontal="center" vertical="center"/>
    </xf>
    <xf numFmtId="0" fontId="19" fillId="0" borderId="17" xfId="105" applyAlignment="1">
      <alignment horizontal="center" vertical="center"/>
    </xf>
    <xf numFmtId="0" fontId="4" fillId="0" borderId="0" xfId="0" applyFont="1" applyAlignment="1">
      <alignment horizontal="center" vertical="center"/>
    </xf>
    <xf numFmtId="0" fontId="20" fillId="0" borderId="18" xfId="106" applyAlignment="1">
      <alignment horizontal="center" vertical="center"/>
    </xf>
    <xf numFmtId="0" fontId="19" fillId="0" borderId="17" xfId="105" applyAlignment="1">
      <alignment horizontal="left" vertical="center"/>
    </xf>
    <xf numFmtId="1" fontId="16" fillId="13" borderId="16" xfId="124" applyNumberFormat="1" applyAlignment="1">
      <alignment horizontal="center" vertical="center"/>
    </xf>
    <xf numFmtId="165" fontId="16" fillId="13" borderId="16" xfId="124" applyNumberFormat="1" applyAlignment="1">
      <alignment horizontal="center" vertical="center"/>
    </xf>
    <xf numFmtId="9" fontId="16" fillId="2" borderId="16" xfId="112" applyNumberFormat="1" applyAlignment="1">
      <alignment horizontal="center" vertical="center"/>
    </xf>
    <xf numFmtId="0" fontId="16" fillId="13" borderId="16" xfId="124" applyAlignment="1">
      <alignment horizontal="center" vertical="center"/>
    </xf>
    <xf numFmtId="1" fontId="16" fillId="2" borderId="16" xfId="112" applyNumberFormat="1" applyAlignment="1">
      <alignment horizontal="center" vertical="center"/>
    </xf>
    <xf numFmtId="167" fontId="12" fillId="11" borderId="16" xfId="114" applyNumberFormat="1" applyAlignment="1">
      <alignment horizontal="center" vertical="center"/>
    </xf>
    <xf numFmtId="1" fontId="12" fillId="11" borderId="16" xfId="114" applyNumberFormat="1" applyAlignment="1">
      <alignment horizontal="center" vertical="center"/>
    </xf>
    <xf numFmtId="175" fontId="12" fillId="11" borderId="16" xfId="114" applyNumberFormat="1" applyAlignment="1">
      <alignment horizontal="center" vertical="center"/>
    </xf>
    <xf numFmtId="2" fontId="12" fillId="11" borderId="16" xfId="114" applyNumberFormat="1" applyAlignment="1">
      <alignment horizontal="center" vertical="center"/>
    </xf>
    <xf numFmtId="173" fontId="12" fillId="11" borderId="16" xfId="114" applyNumberFormat="1" applyAlignment="1">
      <alignment horizontal="center" vertical="center"/>
    </xf>
    <xf numFmtId="9" fontId="12" fillId="11" borderId="16" xfId="114" applyNumberFormat="1" applyAlignment="1">
      <alignment horizontal="center" vertical="center"/>
    </xf>
    <xf numFmtId="0" fontId="16" fillId="2" borderId="16" xfId="112" applyAlignment="1">
      <alignment horizontal="center" vertical="center" wrapText="1"/>
    </xf>
    <xf numFmtId="0" fontId="29" fillId="0" borderId="18" xfId="104" applyAlignment="1">
      <alignment horizontal="center" vertical="center"/>
    </xf>
    <xf numFmtId="176" fontId="16" fillId="2" borderId="16" xfId="112" applyNumberFormat="1" applyAlignment="1">
      <alignment horizontal="center" vertical="center"/>
    </xf>
    <xf numFmtId="168" fontId="19" fillId="0" borderId="17" xfId="105" applyNumberFormat="1" applyAlignment="1">
      <alignment vertical="center"/>
    </xf>
    <xf numFmtId="9" fontId="28" fillId="0" borderId="16" xfId="128" applyNumberFormat="1">
      <alignment vertical="center"/>
    </xf>
    <xf numFmtId="168" fontId="28" fillId="0" borderId="16" xfId="128" applyNumberFormat="1">
      <alignment vertical="center"/>
    </xf>
    <xf numFmtId="0" fontId="20" fillId="0" borderId="18" xfId="106" applyAlignment="1"/>
    <xf numFmtId="176" fontId="12" fillId="5" borderId="16" xfId="113" applyNumberFormat="1" applyAlignment="1">
      <alignment horizontal="center" vertical="center"/>
    </xf>
    <xf numFmtId="165" fontId="12" fillId="12" borderId="16" xfId="121" applyNumberFormat="1">
      <alignment vertical="center"/>
    </xf>
    <xf numFmtId="43" fontId="12" fillId="12" borderId="16" xfId="121" applyNumberFormat="1">
      <alignment vertical="center"/>
    </xf>
    <xf numFmtId="166" fontId="12" fillId="12" borderId="16" xfId="121" applyNumberFormat="1">
      <alignment vertical="center"/>
    </xf>
    <xf numFmtId="164" fontId="12" fillId="12" borderId="16" xfId="121" applyNumberFormat="1">
      <alignment vertical="center"/>
    </xf>
    <xf numFmtId="0" fontId="15" fillId="17" borderId="16" xfId="127" applyAlignment="1">
      <alignment vertical="center"/>
    </xf>
    <xf numFmtId="1" fontId="28" fillId="0" borderId="16" xfId="128" applyNumberFormat="1">
      <alignment vertical="center"/>
    </xf>
    <xf numFmtId="167" fontId="28" fillId="0" borderId="16" xfId="128" applyNumberFormat="1">
      <alignment vertical="center"/>
    </xf>
    <xf numFmtId="165" fontId="28" fillId="0" borderId="16" xfId="1" applyNumberFormat="1" applyFont="1" applyBorder="1" applyAlignment="1">
      <alignment vertical="center"/>
      <protection locked="0"/>
    </xf>
    <xf numFmtId="0" fontId="20" fillId="0" borderId="18" xfId="106" applyAlignment="1">
      <alignment vertical="center"/>
    </xf>
    <xf numFmtId="9" fontId="28" fillId="0" borderId="16" xfId="4" applyFont="1" applyBorder="1" applyAlignment="1">
      <alignment vertical="center"/>
      <protection locked="0"/>
    </xf>
    <xf numFmtId="176" fontId="33" fillId="5" borderId="16" xfId="113" applyNumberFormat="1" applyFont="1" applyAlignment="1">
      <alignment horizontal="center" vertical="center"/>
    </xf>
    <xf numFmtId="177" fontId="16" fillId="2" borderId="16" xfId="112" applyNumberFormat="1" applyAlignment="1">
      <alignment horizontal="center" vertical="center"/>
    </xf>
    <xf numFmtId="43" fontId="28" fillId="0" borderId="16" xfId="1" applyNumberFormat="1" applyFont="1" applyBorder="1" applyAlignment="1">
      <alignment vertical="center"/>
      <protection locked="0"/>
    </xf>
    <xf numFmtId="178" fontId="28" fillId="0" borderId="16" xfId="1" applyNumberFormat="1" applyFont="1" applyBorder="1" applyAlignment="1">
      <alignment vertical="center"/>
      <protection locked="0"/>
    </xf>
    <xf numFmtId="0" fontId="23" fillId="14" borderId="16" xfId="2">
      <alignment vertical="center"/>
    </xf>
    <xf numFmtId="0" fontId="27" fillId="4" borderId="0" xfId="129" applyBorder="1">
      <alignment horizontal="center" vertical="center" wrapText="1"/>
    </xf>
    <xf numFmtId="0" fontId="28" fillId="18" borderId="16" xfId="130" applyFont="1">
      <alignment horizontal="center" vertical="center"/>
      <protection locked="0"/>
    </xf>
    <xf numFmtId="43" fontId="34" fillId="5" borderId="16" xfId="131" applyNumberFormat="1">
      <alignment horizontal="left" vertical="center"/>
    </xf>
    <xf numFmtId="0" fontId="34" fillId="5" borderId="16" xfId="131">
      <alignment horizontal="left" vertical="center"/>
    </xf>
    <xf numFmtId="9" fontId="35" fillId="11" borderId="16" xfId="4" applyFont="1" applyFill="1" applyBorder="1" applyAlignment="1">
      <alignment vertical="center"/>
      <protection locked="0"/>
    </xf>
    <xf numFmtId="0" fontId="27" fillId="4" borderId="16" xfId="129" applyBorder="1">
      <alignment horizontal="center" vertical="center" wrapText="1"/>
    </xf>
    <xf numFmtId="0" fontId="0" fillId="16" borderId="16" xfId="132" applyFont="1">
      <alignment horizontal="left" vertical="center"/>
    </xf>
    <xf numFmtId="9" fontId="0" fillId="0" borderId="0" xfId="4" applyFont="1" applyAlignment="1">
      <protection locked="0"/>
    </xf>
    <xf numFmtId="9" fontId="12" fillId="11" borderId="16" xfId="4" applyFont="1" applyFill="1" applyBorder="1" applyAlignment="1">
      <alignment horizontal="center" vertical="center"/>
      <protection locked="0"/>
    </xf>
    <xf numFmtId="9" fontId="0" fillId="0" borderId="0" xfId="4" applyFont="1" applyAlignment="1">
      <alignment vertical="center"/>
      <protection locked="0"/>
    </xf>
    <xf numFmtId="9" fontId="0" fillId="0" borderId="0" xfId="4" applyFont="1" applyAlignment="1">
      <alignment horizontal="center" vertical="center"/>
      <protection locked="0"/>
    </xf>
    <xf numFmtId="176" fontId="0" fillId="0" borderId="0" xfId="0" applyNumberFormat="1" applyAlignment="1">
      <alignment horizontal="center" vertical="center"/>
    </xf>
    <xf numFmtId="0" fontId="0" fillId="19" borderId="0" xfId="0" applyFill="1">
      <alignment vertical="center"/>
    </xf>
    <xf numFmtId="0" fontId="0" fillId="20" borderId="0" xfId="0" applyFill="1">
      <alignment vertical="center"/>
    </xf>
    <xf numFmtId="0" fontId="0" fillId="21" borderId="0" xfId="0" applyFill="1">
      <alignment vertical="center"/>
    </xf>
    <xf numFmtId="0" fontId="2" fillId="0" borderId="0" xfId="0" applyFont="1" applyAlignment="1">
      <alignment horizontal="center" textRotation="90" wrapText="1"/>
    </xf>
    <xf numFmtId="10" fontId="16" fillId="2" borderId="16" xfId="112" applyNumberFormat="1" applyAlignment="1">
      <alignment horizontal="center" vertical="center"/>
    </xf>
    <xf numFmtId="176" fontId="32" fillId="0" borderId="29" xfId="0" applyNumberFormat="1" applyFont="1" applyBorder="1" applyAlignment="1">
      <alignment horizontal="center" vertical="center"/>
    </xf>
    <xf numFmtId="1" fontId="0" fillId="0" borderId="0" xfId="0" applyNumberFormat="1" applyAlignment="1">
      <alignment horizontal="center" vertical="center"/>
    </xf>
    <xf numFmtId="0" fontId="29" fillId="0" borderId="18" xfId="104" applyAlignment="1">
      <alignment horizontal="left" vertical="center" wrapText="1"/>
    </xf>
    <xf numFmtId="0" fontId="0" fillId="0" borderId="0" xfId="0" applyAlignment="1">
      <alignment horizontal="left" vertical="center" wrapText="1"/>
    </xf>
    <xf numFmtId="0" fontId="19" fillId="0" borderId="17" xfId="105" applyAlignment="1">
      <alignment horizontal="left" vertical="center" wrapText="1"/>
    </xf>
    <xf numFmtId="0" fontId="15" fillId="16" borderId="16" xfId="126" applyAlignment="1">
      <alignment horizontal="left" vertical="center" wrapText="1"/>
    </xf>
    <xf numFmtId="0" fontId="4" fillId="0" borderId="0" xfId="0" applyFont="1" applyAlignment="1">
      <alignment horizontal="left" vertical="center" wrapText="1"/>
    </xf>
    <xf numFmtId="0" fontId="20" fillId="0" borderId="18" xfId="106" applyAlignment="1">
      <alignment horizontal="left" vertical="center" wrapText="1"/>
    </xf>
    <xf numFmtId="0" fontId="15" fillId="16" borderId="16" xfId="126" applyAlignment="1">
      <alignment vertical="center" wrapText="1"/>
    </xf>
    <xf numFmtId="0" fontId="32" fillId="16" borderId="16" xfId="126" applyFont="1" applyAlignment="1">
      <alignment horizontal="left" vertical="center" wrapText="1"/>
    </xf>
    <xf numFmtId="0" fontId="32" fillId="0" borderId="29" xfId="0" applyFont="1" applyBorder="1" applyAlignment="1">
      <alignment horizontal="left" vertical="center" wrapText="1"/>
    </xf>
    <xf numFmtId="0" fontId="36" fillId="0" borderId="0" xfId="0" applyFont="1" applyAlignment="1">
      <alignment vertical="center" wrapText="1"/>
    </xf>
    <xf numFmtId="0" fontId="27" fillId="4" borderId="30" xfId="125" applyBorder="1">
      <alignment vertical="center"/>
    </xf>
    <xf numFmtId="0" fontId="15" fillId="17" borderId="31" xfId="127" applyBorder="1" applyAlignment="1">
      <alignment vertical="center"/>
    </xf>
    <xf numFmtId="176" fontId="0" fillId="0" borderId="32" xfId="3" applyNumberFormat="1" applyFont="1" applyBorder="1" applyAlignment="1">
      <alignment horizontal="center" vertical="center"/>
      <protection locked="0"/>
    </xf>
    <xf numFmtId="176" fontId="0" fillId="0" borderId="7" xfId="3" applyNumberFormat="1" applyFont="1" applyBorder="1" applyAlignment="1">
      <alignment horizontal="center" vertical="center"/>
      <protection locked="0"/>
    </xf>
    <xf numFmtId="176" fontId="0" fillId="0" borderId="33" xfId="3" applyNumberFormat="1" applyFont="1" applyBorder="1" applyAlignment="1">
      <alignment horizontal="center" vertical="center"/>
      <protection locked="0"/>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176" fontId="0" fillId="0" borderId="22" xfId="3" applyNumberFormat="1" applyFont="1" applyBorder="1" applyAlignment="1">
      <alignment horizontal="center" vertical="center"/>
      <protection locked="0"/>
    </xf>
    <xf numFmtId="176" fontId="0" fillId="0" borderId="23" xfId="3" applyNumberFormat="1" applyFont="1" applyBorder="1" applyAlignment="1">
      <alignment horizontal="center" vertical="center"/>
      <protection locked="0"/>
    </xf>
    <xf numFmtId="176" fontId="0" fillId="0" borderId="24" xfId="3" applyNumberFormat="1" applyFont="1" applyBorder="1" applyAlignment="1">
      <alignment horizontal="center" vertical="center"/>
      <protection locked="0"/>
    </xf>
    <xf numFmtId="0" fontId="1" fillId="0" borderId="29" xfId="133" applyBorder="1"/>
    <xf numFmtId="0" fontId="1" fillId="0" borderId="29" xfId="133" applyBorder="1" applyAlignment="1">
      <alignment wrapText="1"/>
    </xf>
    <xf numFmtId="0" fontId="1" fillId="22" borderId="29" xfId="133" applyFill="1" applyBorder="1"/>
    <xf numFmtId="0" fontId="1" fillId="23" borderId="29" xfId="133" applyFill="1" applyBorder="1"/>
    <xf numFmtId="0" fontId="1" fillId="23" borderId="0" xfId="133" applyFill="1" applyBorder="1"/>
    <xf numFmtId="0" fontId="1" fillId="0" borderId="0" xfId="133"/>
    <xf numFmtId="0" fontId="1" fillId="23" borderId="22" xfId="133" applyFill="1" applyBorder="1"/>
    <xf numFmtId="0" fontId="1" fillId="0" borderId="0" xfId="133" applyAlignment="1">
      <alignment horizontal="right"/>
    </xf>
    <xf numFmtId="0" fontId="14" fillId="0" borderId="29" xfId="133" applyFont="1" applyBorder="1"/>
    <xf numFmtId="176" fontId="38" fillId="0" borderId="29" xfId="134" applyNumberFormat="1" applyFont="1" applyBorder="1" applyAlignment="1">
      <alignment horizontal="right" wrapText="1"/>
    </xf>
    <xf numFmtId="176" fontId="1" fillId="0" borderId="29" xfId="133" applyNumberFormat="1" applyBorder="1" applyAlignment="1">
      <alignment wrapText="1"/>
    </xf>
    <xf numFmtId="176" fontId="1" fillId="22" borderId="29" xfId="133" applyNumberFormat="1" applyFill="1" applyBorder="1"/>
    <xf numFmtId="176" fontId="1" fillId="23" borderId="29" xfId="133" applyNumberFormat="1" applyFill="1" applyBorder="1"/>
    <xf numFmtId="176" fontId="14" fillId="0" borderId="29" xfId="133" applyNumberFormat="1" applyFont="1" applyBorder="1" applyAlignment="1">
      <alignment wrapText="1"/>
    </xf>
    <xf numFmtId="0" fontId="1" fillId="0" borderId="0" xfId="133" applyAlignment="1">
      <alignment wrapText="1"/>
    </xf>
    <xf numFmtId="176" fontId="1" fillId="0" borderId="0" xfId="133" applyNumberFormat="1"/>
    <xf numFmtId="0" fontId="29" fillId="0" borderId="18" xfId="104" applyAlignment="1">
      <alignment vertical="center" wrapText="1"/>
    </xf>
    <xf numFmtId="0" fontId="0" fillId="0" borderId="0" xfId="0" applyAlignment="1">
      <alignment vertical="center" wrapText="1"/>
    </xf>
    <xf numFmtId="0" fontId="28" fillId="0" borderId="16" xfId="128" applyAlignment="1">
      <alignment vertical="center" wrapText="1"/>
    </xf>
    <xf numFmtId="0" fontId="4" fillId="0" borderId="0" xfId="0" applyFont="1" applyAlignment="1">
      <alignment vertical="center" wrapText="1"/>
    </xf>
    <xf numFmtId="0" fontId="19" fillId="0" borderId="17" xfId="105" applyAlignment="1">
      <alignment vertical="center" wrapText="1"/>
    </xf>
    <xf numFmtId="0" fontId="20" fillId="0" borderId="18" xfId="106"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1" fontId="39" fillId="11" borderId="16" xfId="114" applyNumberFormat="1" applyFont="1" applyAlignment="1">
      <alignment horizontal="center" vertical="center"/>
    </xf>
    <xf numFmtId="2" fontId="39" fillId="11" borderId="16" xfId="114" applyNumberFormat="1" applyFont="1" applyAlignment="1">
      <alignment horizontal="center" vertical="center"/>
    </xf>
    <xf numFmtId="9" fontId="39" fillId="11" borderId="16" xfId="114" applyNumberFormat="1" applyFont="1" applyAlignment="1">
      <alignment horizontal="center" vertical="center"/>
    </xf>
    <xf numFmtId="165" fontId="39" fillId="12" borderId="16" xfId="121" applyNumberFormat="1" applyFont="1">
      <alignment vertical="center"/>
    </xf>
    <xf numFmtId="0" fontId="5" fillId="0" borderId="0" xfId="0" applyFont="1">
      <alignment vertical="center"/>
    </xf>
    <xf numFmtId="10" fontId="5" fillId="0" borderId="0" xfId="4" applyNumberFormat="1" applyFont="1" applyAlignment="1">
      <alignment vertical="center"/>
      <protection locked="0"/>
    </xf>
    <xf numFmtId="0" fontId="5" fillId="0" borderId="0" xfId="0" applyFont="1" applyAlignment="1">
      <alignment vertical="center" wrapText="1"/>
    </xf>
    <xf numFmtId="176" fontId="5" fillId="0" borderId="0" xfId="0" applyNumberFormat="1" applyFont="1">
      <alignment vertical="center"/>
    </xf>
    <xf numFmtId="0" fontId="40" fillId="0" borderId="0" xfId="0" applyFont="1" applyAlignment="1">
      <alignment vertical="center" wrapText="1"/>
    </xf>
    <xf numFmtId="0" fontId="5" fillId="0" borderId="0" xfId="0" applyFont="1" applyAlignment="1">
      <alignment horizontal="right" vertical="center" wrapText="1"/>
    </xf>
    <xf numFmtId="0" fontId="5" fillId="0" borderId="29" xfId="0" applyFont="1" applyBorder="1" applyAlignment="1">
      <alignment vertical="center" wrapText="1"/>
    </xf>
    <xf numFmtId="0" fontId="44" fillId="25" borderId="29" xfId="0" applyFont="1" applyFill="1" applyBorder="1">
      <alignment vertical="center"/>
    </xf>
    <xf numFmtId="176" fontId="5" fillId="0" borderId="29" xfId="0" applyNumberFormat="1" applyFont="1" applyBorder="1" applyAlignment="1">
      <alignment horizontal="center" vertical="center"/>
    </xf>
    <xf numFmtId="176" fontId="5" fillId="0" borderId="29" xfId="0" applyNumberFormat="1" applyFont="1" applyBorder="1">
      <alignment vertical="center"/>
    </xf>
    <xf numFmtId="0" fontId="45" fillId="0" borderId="29" xfId="0" applyFont="1" applyBorder="1" applyAlignment="1">
      <alignment vertical="center" wrapText="1"/>
    </xf>
    <xf numFmtId="0" fontId="46" fillId="0" borderId="0" xfId="0" applyFont="1">
      <alignment vertical="center"/>
    </xf>
    <xf numFmtId="0" fontId="41" fillId="0" borderId="29" xfId="0" applyFont="1" applyBorder="1" applyAlignment="1">
      <alignment vertical="center" wrapText="1"/>
    </xf>
    <xf numFmtId="8" fontId="5" fillId="0" borderId="0" xfId="0" applyNumberFormat="1" applyFont="1">
      <alignment vertical="center"/>
    </xf>
    <xf numFmtId="44" fontId="5" fillId="0" borderId="0" xfId="3" applyFont="1" applyAlignment="1">
      <alignment vertical="center"/>
      <protection locked="0"/>
    </xf>
    <xf numFmtId="44" fontId="5" fillId="0" borderId="0" xfId="0" applyNumberFormat="1" applyFont="1">
      <alignment vertical="center"/>
    </xf>
    <xf numFmtId="0" fontId="5" fillId="0" borderId="0" xfId="0" applyFont="1" applyAlignment="1">
      <alignment horizontal="left" vertical="center"/>
    </xf>
    <xf numFmtId="176" fontId="5" fillId="0" borderId="0" xfId="3" applyNumberFormat="1" applyFont="1" applyAlignment="1">
      <alignment vertical="center" wrapText="1"/>
      <protection locked="0"/>
    </xf>
    <xf numFmtId="0" fontId="5" fillId="0" borderId="0" xfId="0" applyFont="1" applyBorder="1" applyAlignment="1">
      <alignment vertical="center" wrapText="1"/>
    </xf>
    <xf numFmtId="44" fontId="5" fillId="0" borderId="37" xfId="3" applyFont="1" applyBorder="1" applyAlignment="1">
      <alignment vertical="center"/>
      <protection locked="0"/>
    </xf>
    <xf numFmtId="44" fontId="5" fillId="21" borderId="0" xfId="3" applyFont="1" applyFill="1" applyAlignment="1">
      <alignment vertical="center"/>
      <protection locked="0"/>
    </xf>
    <xf numFmtId="10" fontId="5" fillId="21" borderId="0" xfId="4" applyNumberFormat="1" applyFont="1" applyFill="1" applyAlignment="1">
      <alignment vertical="center"/>
      <protection locked="0"/>
    </xf>
    <xf numFmtId="0" fontId="5" fillId="21" borderId="0" xfId="0" applyFont="1" applyFill="1">
      <alignment vertical="center"/>
    </xf>
    <xf numFmtId="165" fontId="5" fillId="21" borderId="0" xfId="1" applyNumberFormat="1" applyFont="1" applyFill="1" applyAlignment="1">
      <alignment vertical="center"/>
      <protection locked="0"/>
    </xf>
    <xf numFmtId="0" fontId="47" fillId="0" borderId="0" xfId="0" applyFont="1" applyAlignment="1">
      <alignment vertical="center"/>
    </xf>
    <xf numFmtId="0" fontId="45" fillId="0" borderId="38" xfId="0" applyFont="1" applyBorder="1" applyAlignment="1">
      <alignment vertical="center" wrapText="1"/>
    </xf>
    <xf numFmtId="0" fontId="44" fillId="25" borderId="39" xfId="0" applyFont="1" applyFill="1" applyBorder="1">
      <alignment vertical="center"/>
    </xf>
    <xf numFmtId="0" fontId="44" fillId="25" borderId="40" xfId="0" applyFont="1" applyFill="1" applyBorder="1">
      <alignment vertical="center"/>
    </xf>
    <xf numFmtId="0" fontId="5" fillId="0" borderId="41" xfId="0" applyFont="1" applyBorder="1" applyAlignment="1">
      <alignment vertical="center" wrapText="1"/>
    </xf>
    <xf numFmtId="176" fontId="5" fillId="0" borderId="42" xfId="0" applyNumberFormat="1" applyFont="1" applyBorder="1">
      <alignment vertical="center"/>
    </xf>
    <xf numFmtId="0" fontId="5" fillId="0" borderId="43" xfId="0" applyFont="1" applyBorder="1" applyAlignment="1">
      <alignment vertical="center" wrapText="1"/>
    </xf>
    <xf numFmtId="176" fontId="5" fillId="0" borderId="44" xfId="0" applyNumberFormat="1" applyFont="1" applyBorder="1">
      <alignment vertical="center"/>
    </xf>
    <xf numFmtId="0" fontId="5" fillId="0" borderId="45" xfId="0" applyFont="1" applyBorder="1" applyAlignment="1">
      <alignment vertical="center" wrapText="1"/>
    </xf>
    <xf numFmtId="176" fontId="5" fillId="0" borderId="22" xfId="0" applyNumberFormat="1" applyFont="1" applyBorder="1">
      <alignment vertical="center"/>
    </xf>
    <xf numFmtId="176" fontId="5" fillId="0" borderId="29" xfId="0" applyNumberFormat="1" applyFont="1" applyFill="1" applyBorder="1">
      <alignment vertical="center"/>
    </xf>
    <xf numFmtId="176" fontId="5" fillId="11" borderId="29" xfId="0" applyNumberFormat="1" applyFont="1" applyFill="1" applyBorder="1">
      <alignment vertical="center"/>
    </xf>
    <xf numFmtId="0" fontId="48" fillId="0" borderId="29" xfId="0" applyFont="1" applyBorder="1" applyAlignment="1">
      <alignment vertical="center" wrapText="1"/>
    </xf>
    <xf numFmtId="0" fontId="5" fillId="0" borderId="0" xfId="0" applyFont="1" applyAlignment="1">
      <alignment horizontal="right" vertical="center"/>
    </xf>
    <xf numFmtId="43" fontId="5" fillId="0" borderId="0" xfId="1" applyFont="1" applyAlignment="1">
      <alignment vertical="center"/>
      <protection locked="0"/>
    </xf>
    <xf numFmtId="6" fontId="5" fillId="0" borderId="0" xfId="0" applyNumberFormat="1" applyFont="1">
      <alignment vertical="center"/>
    </xf>
    <xf numFmtId="0" fontId="49" fillId="0" borderId="0" xfId="0" applyFont="1">
      <alignment vertical="center"/>
    </xf>
    <xf numFmtId="0" fontId="5" fillId="0" borderId="29" xfId="0" applyFont="1" applyBorder="1">
      <alignment vertical="center"/>
    </xf>
    <xf numFmtId="44" fontId="5" fillId="0" borderId="29" xfId="3" applyFont="1" applyBorder="1" applyAlignment="1">
      <alignment vertical="center"/>
      <protection locked="0"/>
    </xf>
    <xf numFmtId="8" fontId="5" fillId="0" borderId="29" xfId="0" applyNumberFormat="1" applyFont="1" applyBorder="1">
      <alignment vertical="center"/>
    </xf>
    <xf numFmtId="0" fontId="47" fillId="0" borderId="0" xfId="0" applyFont="1" applyAlignment="1">
      <alignment horizontal="left" vertical="center"/>
    </xf>
    <xf numFmtId="165" fontId="5" fillId="26" borderId="0" xfId="1" applyNumberFormat="1" applyFont="1" applyFill="1" applyAlignment="1">
      <alignment vertical="center"/>
      <protection locked="0"/>
    </xf>
    <xf numFmtId="171" fontId="5" fillId="0" borderId="0" xfId="0" applyNumberFormat="1" applyFont="1">
      <alignment vertical="center"/>
    </xf>
    <xf numFmtId="180" fontId="5" fillId="0" borderId="0" xfId="3" applyNumberFormat="1" applyFont="1" applyAlignment="1">
      <alignment vertical="center" wrapText="1"/>
      <protection locked="0"/>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0" fillId="27" borderId="5" xfId="0" applyFont="1" applyFill="1" applyBorder="1" applyAlignment="1">
      <alignment horizontal="center" vertical="center"/>
    </xf>
    <xf numFmtId="0" fontId="50" fillId="27" borderId="6" xfId="0" applyFont="1" applyFill="1" applyBorder="1" applyAlignment="1">
      <alignment horizontal="center" vertical="center"/>
    </xf>
    <xf numFmtId="0" fontId="51" fillId="5" borderId="0" xfId="0" applyFont="1" applyFill="1" applyAlignment="1"/>
    <xf numFmtId="0" fontId="51" fillId="28" borderId="46" xfId="0" applyFont="1" applyFill="1" applyBorder="1" applyAlignment="1">
      <alignment horizontal="center" vertical="center"/>
    </xf>
    <xf numFmtId="2" fontId="0" fillId="0" borderId="0" xfId="0" applyNumberFormat="1" applyAlignment="1"/>
    <xf numFmtId="43" fontId="0" fillId="0" borderId="0" xfId="1" applyFont="1" applyAlignment="1">
      <alignment vertical="center"/>
      <protection locked="0"/>
    </xf>
    <xf numFmtId="0" fontId="52" fillId="0" borderId="0" xfId="0" applyFont="1">
      <alignment vertical="center"/>
    </xf>
    <xf numFmtId="0" fontId="5" fillId="13" borderId="29" xfId="0" applyNumberFormat="1" applyFont="1" applyFill="1" applyBorder="1" applyAlignment="1">
      <alignment horizontal="left" vertical="center"/>
    </xf>
    <xf numFmtId="181" fontId="5" fillId="0" borderId="29" xfId="0" applyNumberFormat="1" applyFont="1" applyBorder="1">
      <alignment vertical="center"/>
    </xf>
    <xf numFmtId="0" fontId="5" fillId="13" borderId="29" xfId="0" applyFont="1" applyFill="1" applyBorder="1">
      <alignment vertical="center"/>
    </xf>
    <xf numFmtId="176" fontId="5" fillId="0" borderId="29" xfId="3" applyNumberFormat="1" applyFont="1" applyBorder="1" applyAlignment="1">
      <alignment vertical="center"/>
      <protection locked="0"/>
    </xf>
    <xf numFmtId="0" fontId="0" fillId="0" borderId="47" xfId="0" applyBorder="1">
      <alignment vertical="center"/>
    </xf>
    <xf numFmtId="0" fontId="0" fillId="0" borderId="33" xfId="0" applyBorder="1">
      <alignment vertical="center"/>
    </xf>
    <xf numFmtId="0" fontId="0" fillId="0" borderId="32" xfId="0" applyBorder="1">
      <alignment vertical="center"/>
    </xf>
    <xf numFmtId="176" fontId="0" fillId="0" borderId="0" xfId="0" applyNumberFormat="1" applyFill="1" applyBorder="1">
      <alignment vertical="center"/>
    </xf>
    <xf numFmtId="0" fontId="0" fillId="0" borderId="24" xfId="0" applyBorder="1" applyAlignment="1">
      <alignment horizontal="center" vertical="center"/>
    </xf>
    <xf numFmtId="0" fontId="0" fillId="0" borderId="9" xfId="0" applyBorder="1" applyAlignment="1">
      <alignment horizontal="center" vertical="center"/>
    </xf>
    <xf numFmtId="176" fontId="0" fillId="0" borderId="29" xfId="0" applyNumberFormat="1" applyBorder="1" applyAlignment="1">
      <alignment horizontal="center" vertical="center"/>
    </xf>
    <xf numFmtId="176" fontId="0" fillId="0" borderId="48" xfId="0" applyNumberFormat="1" applyBorder="1" applyAlignment="1">
      <alignment horizontal="center" vertical="center"/>
    </xf>
    <xf numFmtId="176" fontId="0" fillId="0" borderId="22" xfId="0" applyNumberFormat="1" applyBorder="1" applyAlignment="1">
      <alignment horizontal="center" vertical="center"/>
    </xf>
    <xf numFmtId="176" fontId="0" fillId="0" borderId="49" xfId="0" applyNumberFormat="1" applyBorder="1" applyAlignment="1">
      <alignment horizontal="center" vertical="center"/>
    </xf>
    <xf numFmtId="9" fontId="0" fillId="29" borderId="0" xfId="0" applyNumberFormat="1" applyFill="1">
      <alignment vertical="center"/>
    </xf>
    <xf numFmtId="0" fontId="0" fillId="29" borderId="0" xfId="0" applyFill="1">
      <alignment vertical="center"/>
    </xf>
    <xf numFmtId="165" fontId="0" fillId="29" borderId="0" xfId="0" applyNumberFormat="1" applyFill="1">
      <alignment vertical="center"/>
    </xf>
    <xf numFmtId="43" fontId="0" fillId="29" borderId="0" xfId="0" applyNumberFormat="1" applyFill="1">
      <alignment vertical="center"/>
    </xf>
    <xf numFmtId="0" fontId="54" fillId="0" borderId="0" xfId="0" applyFont="1" applyAlignment="1"/>
    <xf numFmtId="0" fontId="54" fillId="0" borderId="0" xfId="0" applyFont="1">
      <alignment vertical="center"/>
    </xf>
    <xf numFmtId="0" fontId="53" fillId="0" borderId="11" xfId="0" applyFont="1" applyBorder="1" applyAlignment="1">
      <alignment horizontal="center" vertical="center"/>
    </xf>
    <xf numFmtId="0" fontId="53" fillId="0" borderId="50" xfId="0" applyFont="1" applyBorder="1" applyAlignment="1">
      <alignment horizontal="center" vertical="center"/>
    </xf>
    <xf numFmtId="0" fontId="53" fillId="0" borderId="12" xfId="0" applyFont="1" applyBorder="1" applyAlignment="1">
      <alignment horizontal="center" vertical="center"/>
    </xf>
    <xf numFmtId="0" fontId="53" fillId="30" borderId="51" xfId="0" applyFont="1" applyFill="1" applyBorder="1" applyAlignment="1">
      <alignment horizontal="center" vertical="center"/>
    </xf>
    <xf numFmtId="0" fontId="53" fillId="30" borderId="52" xfId="0" applyFont="1" applyFill="1" applyBorder="1" applyAlignment="1">
      <alignment horizontal="center" vertical="center"/>
    </xf>
    <xf numFmtId="0" fontId="53" fillId="30" borderId="53" xfId="0" applyFont="1" applyFill="1" applyBorder="1" applyAlignment="1">
      <alignment horizontal="center" vertical="center"/>
    </xf>
    <xf numFmtId="0" fontId="0" fillId="0" borderId="29" xfId="0" applyBorder="1" applyAlignment="1">
      <alignment horizontal="center" vertical="center"/>
    </xf>
    <xf numFmtId="0" fontId="27" fillId="4" borderId="25" xfId="125" applyBorder="1" applyAlignment="1">
      <alignment horizontal="center" vertical="center"/>
    </xf>
    <xf numFmtId="0" fontId="27" fillId="4" borderId="26" xfId="125" applyBorder="1" applyAlignment="1">
      <alignment horizontal="center" vertical="center"/>
    </xf>
    <xf numFmtId="0" fontId="27" fillId="4" borderId="27" xfId="125" applyBorder="1" applyAlignment="1">
      <alignment horizontal="center" vertical="center"/>
    </xf>
    <xf numFmtId="0" fontId="2" fillId="0" borderId="0" xfId="0" applyFont="1" applyAlignment="1">
      <alignment horizontal="center" textRotation="90" wrapText="1"/>
    </xf>
  </cellXfs>
  <cellStyles count="137">
    <cellStyle name="Bad" xfId="110" builtinId="27" customBuiltin="1"/>
    <cellStyle name="Calculation" xfId="114" builtinId="22" customBuiltin="1"/>
    <cellStyle name="Calculation with Different Formula" xfId="121" xr:uid="{00000000-0005-0000-0000-000002000000}"/>
    <cellStyle name="Check Cell" xfId="116" builtinId="23" customBuiltin="1"/>
    <cellStyle name="Comma" xfId="1" builtinId="3" customBuiltin="1"/>
    <cellStyle name="Currency" xfId="3" builtinId="4" customBuiltin="1"/>
    <cellStyle name="Datetime Format" xfId="122" xr:uid="{00000000-0005-0000-0000-000006000000}"/>
    <cellStyle name="Dollars Format" xfId="123" xr:uid="{00000000-0005-0000-0000-000007000000}"/>
    <cellStyle name="Dropdown" xfId="130" xr:uid="{00000000-0005-0000-0000-000008000000}"/>
    <cellStyle name="Dropdown Input" xfId="124" xr:uid="{00000000-0005-0000-0000-000009000000}"/>
    <cellStyle name="Explanatory Text" xfId="119" builtinId="53" customBuiltin="1"/>
    <cellStyle name="Followed Hyperlink" xfId="31" builtinId="9" hidden="1"/>
    <cellStyle name="Followed Hyperlink" xfId="35" builtinId="9" hidden="1"/>
    <cellStyle name="Followed Hyperlink" xfId="88" builtinId="9" hidden="1"/>
    <cellStyle name="Followed Hyperlink" xfId="85" builtinId="9" hidden="1"/>
    <cellStyle name="Followed Hyperlink" xfId="94" builtinId="9" hidden="1"/>
    <cellStyle name="Followed Hyperlink" xfId="56" builtinId="9" hidden="1"/>
    <cellStyle name="Followed Hyperlink" xfId="76" builtinId="9" hidden="1"/>
    <cellStyle name="Followed Hyperlink" xfId="26" builtinId="9" hidden="1"/>
    <cellStyle name="Followed Hyperlink" xfId="5" builtinId="9" hidden="1"/>
    <cellStyle name="Followed Hyperlink" xfId="27" builtinId="9" hidden="1"/>
    <cellStyle name="Followed Hyperlink" xfId="20" builtinId="9" hidden="1"/>
    <cellStyle name="Followed Hyperlink" xfId="21" builtinId="9" hidden="1"/>
    <cellStyle name="Followed Hyperlink" xfId="55" builtinId="9" hidden="1"/>
    <cellStyle name="Followed Hyperlink" xfId="67" builtinId="9" hidden="1"/>
    <cellStyle name="Followed Hyperlink" xfId="50" builtinId="9" hidden="1"/>
    <cellStyle name="Followed Hyperlink" xfId="39" builtinId="9" hidden="1"/>
    <cellStyle name="Followed Hyperlink" xfId="36" builtinId="9" hidden="1"/>
    <cellStyle name="Followed Hyperlink" xfId="28" builtinId="9" hidden="1"/>
    <cellStyle name="Followed Hyperlink" xfId="92" builtinId="9" hidden="1"/>
    <cellStyle name="Followed Hyperlink" xfId="6" builtinId="9" hidden="1"/>
    <cellStyle name="Followed Hyperlink" xfId="60" builtinId="9" hidden="1"/>
    <cellStyle name="Followed Hyperlink" xfId="29" builtinId="9" hidden="1"/>
    <cellStyle name="Followed Hyperlink" xfId="102" builtinId="9" hidden="1"/>
    <cellStyle name="Followed Hyperlink" xfId="15" builtinId="9" hidden="1"/>
    <cellStyle name="Followed Hyperlink" xfId="9" builtinId="9" hidden="1"/>
    <cellStyle name="Followed Hyperlink" xfId="86" builtinId="9" hidden="1"/>
    <cellStyle name="Followed Hyperlink" xfId="65" builtinId="9" hidden="1"/>
    <cellStyle name="Followed Hyperlink" xfId="87" builtinId="9" hidden="1"/>
    <cellStyle name="Followed Hyperlink" xfId="68" builtinId="9" hidden="1"/>
    <cellStyle name="Followed Hyperlink" xfId="81" builtinId="9" hidden="1"/>
    <cellStyle name="Followed Hyperlink" xfId="72" builtinId="9" hidden="1"/>
    <cellStyle name="Followed Hyperlink" xfId="77" builtinId="9" hidden="1"/>
    <cellStyle name="Followed Hyperlink" xfId="22" builtinId="9" hidden="1"/>
    <cellStyle name="Followed Hyperlink" xfId="10" builtinId="9" hidden="1"/>
    <cellStyle name="Followed Hyperlink" xfId="7" builtinId="9" hidden="1"/>
    <cellStyle name="Followed Hyperlink" xfId="62" builtinId="9" hidden="1"/>
    <cellStyle name="Followed Hyperlink" xfId="49" builtinId="9" hidden="1"/>
    <cellStyle name="Followed Hyperlink" xfId="54" builtinId="9" hidden="1"/>
    <cellStyle name="Followed Hyperlink" xfId="17" builtinId="9" hidden="1"/>
    <cellStyle name="Followed Hyperlink" xfId="66" builtinId="9" hidden="1"/>
    <cellStyle name="Followed Hyperlink" xfId="61" builtinId="9" hidden="1"/>
    <cellStyle name="Followed Hyperlink" xfId="30" builtinId="9" hidden="1"/>
    <cellStyle name="Followed Hyperlink" xfId="101" builtinId="9" hidden="1"/>
    <cellStyle name="Followed Hyperlink" xfId="93" builtinId="9" hidden="1"/>
    <cellStyle name="Followed Hyperlink" xfId="38" builtinId="9" hidden="1"/>
    <cellStyle name="Followed Hyperlink" xfId="74" builtinId="9" hidden="1"/>
    <cellStyle name="Followed Hyperlink" xfId="23" builtinId="9" hidden="1"/>
    <cellStyle name="Followed Hyperlink" xfId="96" builtinId="9" hidden="1"/>
    <cellStyle name="Followed Hyperlink" xfId="18" builtinId="9" hidden="1"/>
    <cellStyle name="Followed Hyperlink" xfId="32" builtinId="9" hidden="1"/>
    <cellStyle name="Followed Hyperlink" xfId="46" builtinId="9" hidden="1"/>
    <cellStyle name="Followed Hyperlink" xfId="100" builtinId="9" hidden="1"/>
    <cellStyle name="Followed Hyperlink" xfId="47" builtinId="9" hidden="1"/>
    <cellStyle name="Followed Hyperlink" xfId="40" builtinId="9" hidden="1"/>
    <cellStyle name="Followed Hyperlink" xfId="33" builtinId="9" hidden="1"/>
    <cellStyle name="Followed Hyperlink" xfId="59" builtinId="9" hidden="1"/>
    <cellStyle name="Followed Hyperlink" xfId="91" builtinId="9" hidden="1"/>
    <cellStyle name="Followed Hyperlink" xfId="52" builtinId="9" hidden="1"/>
    <cellStyle name="Followed Hyperlink" xfId="11" builtinId="9" hidden="1"/>
    <cellStyle name="Followed Hyperlink" xfId="16" builtinId="9" hidden="1"/>
    <cellStyle name="Followed Hyperlink" xfId="84" builtinId="9" hidden="1"/>
    <cellStyle name="Followed Hyperlink" xfId="45" builtinId="9" hidden="1"/>
    <cellStyle name="Followed Hyperlink" xfId="95" builtinId="9" hidden="1"/>
    <cellStyle name="Followed Hyperlink" xfId="64" builtinId="9" hidden="1"/>
    <cellStyle name="Followed Hyperlink" xfId="24" builtinId="9" hidden="1"/>
    <cellStyle name="Followed Hyperlink" xfId="103" builtinId="9" hidden="1"/>
    <cellStyle name="Followed Hyperlink" xfId="13" builtinId="9" hidden="1"/>
    <cellStyle name="Followed Hyperlink" xfId="97" builtinId="9" hidden="1"/>
    <cellStyle name="Followed Hyperlink" xfId="83" builtinId="9" hidden="1"/>
    <cellStyle name="Followed Hyperlink" xfId="25" builtinId="9" hidden="1"/>
    <cellStyle name="Followed Hyperlink" xfId="58" builtinId="9" hidden="1"/>
    <cellStyle name="Followed Hyperlink" xfId="48" builtinId="9" hidden="1"/>
    <cellStyle name="Followed Hyperlink" xfId="42" builtinId="9" hidden="1"/>
    <cellStyle name="Followed Hyperlink" xfId="12" builtinId="9" hidden="1"/>
    <cellStyle name="Followed Hyperlink" xfId="37" builtinId="9" hidden="1"/>
    <cellStyle name="Followed Hyperlink" xfId="51" builtinId="9" hidden="1"/>
    <cellStyle name="Followed Hyperlink" xfId="80" builtinId="9" hidden="1"/>
    <cellStyle name="Followed Hyperlink" xfId="98" builtinId="9" hidden="1"/>
    <cellStyle name="Followed Hyperlink" xfId="75" builtinId="9" hidden="1"/>
    <cellStyle name="Followed Hyperlink" xfId="14" builtinId="9" hidden="1"/>
    <cellStyle name="Followed Hyperlink" xfId="90" builtinId="9" hidden="1"/>
    <cellStyle name="Followed Hyperlink" xfId="57" builtinId="9" hidden="1"/>
    <cellStyle name="Followed Hyperlink" xfId="44" builtinId="9" hidden="1"/>
    <cellStyle name="Followed Hyperlink" xfId="71" builtinId="9" hidden="1"/>
    <cellStyle name="Followed Hyperlink" xfId="89" builtinId="9" hidden="1"/>
    <cellStyle name="Followed Hyperlink" xfId="43" builtinId="9" hidden="1"/>
    <cellStyle name="Followed Hyperlink" xfId="63" builtinId="9" hidden="1"/>
    <cellStyle name="Followed Hyperlink" xfId="41" builtinId="9" hidden="1"/>
    <cellStyle name="Followed Hyperlink" xfId="53" builtinId="9" hidden="1"/>
    <cellStyle name="Followed Hyperlink" xfId="73" builtinId="9" hidden="1"/>
    <cellStyle name="Followed Hyperlink" xfId="8" builtinId="9" hidden="1"/>
    <cellStyle name="Followed Hyperlink" xfId="79" builtinId="9" hidden="1"/>
    <cellStyle name="Followed Hyperlink" xfId="78" builtinId="9" hidden="1"/>
    <cellStyle name="Followed Hyperlink" xfId="69" builtinId="9" hidden="1"/>
    <cellStyle name="Followed Hyperlink" xfId="82" builtinId="9" hidden="1"/>
    <cellStyle name="Followed Hyperlink" xfId="34" builtinId="9" hidden="1"/>
    <cellStyle name="Followed Hyperlink" xfId="99" builtinId="9" hidden="1"/>
    <cellStyle name="Followed Hyperlink" xfId="19" builtinId="9" hidden="1"/>
    <cellStyle name="Followed Hyperlink" xfId="70" builtinId="9" hidden="1"/>
    <cellStyle name="Good" xfId="109" builtinId="26" customBuiltin="1"/>
    <cellStyle name="Heading" xfId="129" xr:uid="{00000000-0005-0000-0000-00006F000000}"/>
    <cellStyle name="Heading 1" xfId="105" builtinId="16" customBuiltin="1"/>
    <cellStyle name="Heading 2" xfId="106" builtinId="17" customBuiltin="1"/>
    <cellStyle name="Heading 3" xfId="107" builtinId="18" customBuiltin="1"/>
    <cellStyle name="Heading 4" xfId="108" builtinId="19" customBuiltin="1"/>
    <cellStyle name="Hyperlink" xfId="2" builtinId="8" customBuiltin="1"/>
    <cellStyle name="Index" xfId="132" xr:uid="{00000000-0005-0000-0000-000075000000}"/>
    <cellStyle name="Input" xfId="112" builtinId="20" customBuiltin="1"/>
    <cellStyle name="Linked Cell" xfId="115" builtinId="24" customBuiltin="1"/>
    <cellStyle name="Neutral" xfId="111" builtinId="28" customBuiltin="1"/>
    <cellStyle name="Normal" xfId="0" builtinId="0" customBuiltin="1"/>
    <cellStyle name="Normal 2" xfId="133" xr:uid="{00000000-0005-0000-0000-00007A000000}"/>
    <cellStyle name="Normal 2 2" xfId="134" xr:uid="{00000000-0005-0000-0000-00007B000000}"/>
    <cellStyle name="Note" xfId="118" builtinId="10" customBuiltin="1"/>
    <cellStyle name="Output" xfId="113" builtinId="21" customBuiltin="1"/>
    <cellStyle name="Percent" xfId="4" builtinId="5" customBuiltin="1"/>
    <cellStyle name="Results" xfId="131" xr:uid="{00000000-0005-0000-0000-00007F000000}"/>
    <cellStyle name="Table Data" xfId="136" xr:uid="{00000000-0005-0000-0000-000080000000}"/>
    <cellStyle name="Table Header" xfId="125" xr:uid="{00000000-0005-0000-0000-000081000000}"/>
    <cellStyle name="Table Headings Bold" xfId="135" xr:uid="{00000000-0005-0000-0000-000082000000}"/>
    <cellStyle name="Table Index" xfId="126" xr:uid="{00000000-0005-0000-0000-000083000000}"/>
    <cellStyle name="Table Sub-Header" xfId="127" xr:uid="{00000000-0005-0000-0000-000084000000}"/>
    <cellStyle name="Table Value" xfId="128" xr:uid="{00000000-0005-0000-0000-000085000000}"/>
    <cellStyle name="Title" xfId="104" builtinId="15" customBuiltin="1"/>
    <cellStyle name="Total" xfId="120" builtinId="25" customBuiltin="1"/>
    <cellStyle name="Warning Text" xfId="117" builtinId="11" customBuiltin="1"/>
  </cellStyles>
  <dxfs count="32">
    <dxf>
      <fill>
        <patternFill>
          <bgColor rgb="FFF9F9F9"/>
        </patternFill>
      </fill>
    </dxf>
    <dxf>
      <fill>
        <patternFill>
          <bgColor rgb="FFFFFFFF"/>
        </patternFill>
      </fill>
    </dxf>
    <dxf>
      <fill>
        <patternFill>
          <bgColor rgb="FFF9F9F9"/>
        </patternFill>
      </fill>
    </dxf>
    <dxf>
      <fill>
        <patternFill>
          <bgColor rgb="FFFFFFFF"/>
        </patternFill>
      </fill>
    </dxf>
    <dxf>
      <fill>
        <patternFill>
          <bgColor rgb="FFF9F9F9"/>
        </patternFill>
      </fill>
    </dxf>
    <dxf>
      <fill>
        <patternFill>
          <bgColor rgb="FFFFFFFF"/>
        </patternFill>
      </fill>
    </dxf>
    <dxf>
      <fill>
        <patternFill>
          <bgColor rgb="FFF9F9F9"/>
        </patternFill>
      </fill>
    </dxf>
    <dxf>
      <fill>
        <patternFill>
          <bgColor rgb="FFFFFFFF"/>
        </patternFill>
      </fill>
    </dxf>
    <dxf>
      <fill>
        <patternFill>
          <bgColor rgb="FFF9F9F9"/>
        </patternFill>
      </fill>
    </dxf>
    <dxf>
      <fill>
        <patternFill>
          <bgColor rgb="FFFFFFFF"/>
        </patternFill>
      </fill>
    </dxf>
    <dxf>
      <fill>
        <patternFill>
          <bgColor rgb="FFF9F9F9"/>
        </patternFill>
      </fill>
    </dxf>
    <dxf>
      <fill>
        <patternFill>
          <bgColor rgb="FFFFFFFF"/>
        </patternFill>
      </fill>
    </dxf>
    <dxf>
      <fill>
        <patternFill>
          <bgColor rgb="FFF9F9F9"/>
        </patternFill>
      </fill>
    </dxf>
    <dxf>
      <fill>
        <patternFill>
          <bgColor rgb="FFFFFFFF"/>
        </patternFill>
      </fill>
    </dxf>
    <dxf>
      <fill>
        <patternFill>
          <bgColor rgb="FFF9F9F9"/>
        </patternFill>
      </fill>
    </dxf>
    <dxf>
      <fill>
        <patternFill>
          <bgColor rgb="FFFFFFFF"/>
        </patternFill>
      </fill>
    </dxf>
    <dxf>
      <fill>
        <patternFill>
          <bgColor rgb="FFF9F9F9"/>
        </patternFill>
      </fill>
    </dxf>
    <dxf>
      <fill>
        <patternFill>
          <bgColor rgb="FFFFFFFF"/>
        </patternFill>
      </fill>
    </dxf>
    <dxf>
      <fill>
        <patternFill>
          <bgColor rgb="FFF9F9F9"/>
        </patternFill>
      </fill>
    </dxf>
    <dxf>
      <fill>
        <patternFill>
          <bgColor rgb="FFFFFFFF"/>
        </patternFill>
      </fill>
    </dxf>
    <dxf>
      <fill>
        <patternFill>
          <bgColor rgb="FFF9F9F9"/>
        </patternFill>
      </fill>
    </dxf>
    <dxf>
      <fill>
        <patternFill>
          <bgColor rgb="FFFFFFFF"/>
        </patternFill>
      </fill>
    </dxf>
    <dxf>
      <fill>
        <patternFill>
          <bgColor rgb="FFF9F9F9"/>
        </patternFill>
      </fill>
    </dxf>
    <dxf>
      <fill>
        <patternFill>
          <bgColor rgb="FFFFFFFF"/>
        </patternFill>
      </fill>
    </dxf>
    <dxf>
      <numFmt numFmtId="176" formatCode="&quot;$&quot;#,##0.0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76" formatCode="&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76" formatCode="&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2.xml"/><Relationship Id="rId8" Type="http://schemas.openxmlformats.org/officeDocument/2006/relationships/worksheet" Target="worksheets/sheet7.xml"/><Relationship Id="rId18" Type="http://schemas.openxmlformats.org/officeDocument/2006/relationships/externalLink" Target="externalLinks/externalLink1.xml"/><Relationship Id="rId26" Type="http://schemas.openxmlformats.org/officeDocument/2006/relationships/customXml" Target="../customXml/item2.xml"/><Relationship Id="rId21" Type="http://schemas.openxmlformats.org/officeDocument/2006/relationships/sharedStrings" Target="sharedStrings.xml"/><Relationship Id="rId3" Type="http://schemas.openxmlformats.org/officeDocument/2006/relationships/worksheet" Target="worksheets/sheet2.xml"/><Relationship Id="rId12" Type="http://schemas.openxmlformats.org/officeDocument/2006/relationships/worksheet" Target="worksheets/sheet11.xml"/><Relationship Id="rId17" Type="http://schemas.openxmlformats.org/officeDocument/2006/relationships/worksheet" Target="worksheets/sheet16.xml"/><Relationship Id="rId7" Type="http://schemas.openxmlformats.org/officeDocument/2006/relationships/worksheet" Target="worksheets/sheet6.xml"/><Relationship Id="rId25" Type="http://schemas.openxmlformats.org/officeDocument/2006/relationships/customXml" Target="../customXml/item1.xml"/><Relationship Id="rId20" Type="http://schemas.openxmlformats.org/officeDocument/2006/relationships/styles" Target="styles.xml"/><Relationship Id="rId16" Type="http://schemas.openxmlformats.org/officeDocument/2006/relationships/worksheet" Target="worksheets/sheet15.xml"/><Relationship Id="rId2" Type="http://schemas.openxmlformats.org/officeDocument/2006/relationships/chartsheet" Target="chartsheets/sheet1.xml"/><Relationship Id="rId1" Type="http://schemas.openxmlformats.org/officeDocument/2006/relationships/worksheet" Target="worksheets/sheet1.xml"/><Relationship Id="rId11" Type="http://schemas.openxmlformats.org/officeDocument/2006/relationships/worksheet" Target="worksheets/sheet10.xml"/><Relationship Id="rId6" Type="http://schemas.openxmlformats.org/officeDocument/2006/relationships/worksheet" Target="worksheets/sheet5.xml"/><Relationship Id="rId24" Type="http://schemas.openxmlformats.org/officeDocument/2006/relationships/calcChain" Target="calcChain.xml"/><Relationship Id="rId15" Type="http://schemas.openxmlformats.org/officeDocument/2006/relationships/worksheet" Target="worksheets/sheet14.xml"/><Relationship Id="rId5" Type="http://schemas.openxmlformats.org/officeDocument/2006/relationships/worksheet" Target="worksheets/sheet4.xml"/><Relationship Id="rId23" Type="http://schemas.microsoft.com/office/2017/10/relationships/person" Target="persons/person.xml"/><Relationship Id="rId28" Type="http://schemas.openxmlformats.org/officeDocument/2006/relationships/customXml" Target="../customXml/item4.xml"/><Relationship Id="rId19" Type="http://schemas.openxmlformats.org/officeDocument/2006/relationships/theme" Target="theme/theme1.xml"/><Relationship Id="rId10" Type="http://schemas.openxmlformats.org/officeDocument/2006/relationships/worksheet" Target="worksheets/sheet9.xml"/><Relationship Id="rId14" Type="http://schemas.openxmlformats.org/officeDocument/2006/relationships/worksheet" Target="worksheets/sheet13.xml"/><Relationship Id="rId4" Type="http://schemas.openxmlformats.org/officeDocument/2006/relationships/worksheet" Target="worksheets/sheet3.xml"/><Relationship Id="rId9" Type="http://schemas.openxmlformats.org/officeDocument/2006/relationships/worksheet" Target="worksheets/sheet8.xml"/><Relationship Id="rId22" Type="http://schemas.openxmlformats.org/officeDocument/2006/relationships/sheetMetadata" Target="metadata.xml"/><Relationship Id="rId27" Type="http://schemas.openxmlformats.org/officeDocument/2006/relationships/customXml" Target="../customXml/item3.xml"/></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38753993462937"/>
          <c:y val="2.8116586158530871E-2"/>
          <c:w val="0.82551183171443465"/>
          <c:h val="0.70266399594626594"/>
        </c:manualLayout>
      </c:layout>
      <c:lineChart>
        <c:grouping val="standard"/>
        <c:varyColors val="0"/>
        <c:ser>
          <c:idx val="0"/>
          <c:order val="0"/>
          <c:tx>
            <c:strRef>
              <c:f>'Green H2 for 2023 IRP'!$B$39</c:f>
              <c:strCache>
                <c:ptCount val="1"/>
                <c:pt idx="0">
                  <c:v>Green H2 Net Cost with Max. PTC</c:v>
                </c:pt>
              </c:strCache>
            </c:strRef>
          </c:tx>
          <c:spPr>
            <a:ln w="28575" cap="rnd">
              <a:solidFill>
                <a:schemeClr val="accent6">
                  <a:lumMod val="75000"/>
                </a:schemeClr>
              </a:solidFill>
              <a:round/>
            </a:ln>
            <a:effectLst/>
          </c:spPr>
          <c:marker>
            <c:symbol val="circle"/>
            <c:size val="5"/>
            <c:spPr>
              <a:solidFill>
                <a:srgbClr val="FFC000">
                  <a:alpha val="94000"/>
                </a:srgbClr>
              </a:solidFill>
              <a:ln w="38100">
                <a:solidFill>
                  <a:schemeClr val="accent6">
                    <a:lumMod val="75000"/>
                  </a:schemeClr>
                </a:solidFill>
              </a:ln>
              <a:effectLst/>
            </c:spPr>
          </c:marker>
          <c:cat>
            <c:numRef>
              <c:f>'Green H2 for 2023 IRP'!$C$34:$AC$34</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'Green H2 for 2023 IRP'!$C$39:$AC$39</c:f>
              <c:numCache>
                <c:formatCode>"$"#,##0.00</c:formatCode>
                <c:ptCount val="27"/>
                <c:pt idx="0">
                  <c:v>18.838302452541893</c:v>
                </c:pt>
                <c:pt idx="1">
                  <c:v>18.418047478044336</c:v>
                </c:pt>
                <c:pt idx="2">
                  <c:v>17.977870060925785</c:v>
                </c:pt>
                <c:pt idx="3">
                  <c:v>17.516985798478345</c:v>
                </c:pt>
                <c:pt idx="4">
                  <c:v>17.0345835193854</c:v>
                </c:pt>
                <c:pt idx="5">
                  <c:v>16.5298244355428</c:v>
                </c:pt>
                <c:pt idx="6">
                  <c:v>16.001841268201602</c:v>
                </c:pt>
                <c:pt idx="7">
                  <c:v>15.410399997792904</c:v>
                </c:pt>
                <c:pt idx="8">
                  <c:v>14.79662348333996</c:v>
                </c:pt>
                <c:pt idx="9">
                  <c:v>14.159655181439344</c:v>
                </c:pt>
                <c:pt idx="10">
                  <c:v>13.498609681044947</c:v>
                </c:pt>
                <c:pt idx="11">
                  <c:v>12.812571795425558</c:v>
                </c:pt>
                <c:pt idx="12">
                  <c:v>12.007475953538272</c:v>
                </c:pt>
                <c:pt idx="13">
                  <c:v>11.168709043851976</c:v>
                </c:pt>
                <c:pt idx="14">
                  <c:v>10.295007506240434</c:v>
                </c:pt>
                <c:pt idx="15">
                  <c:v>9.3850656469885472</c:v>
                </c:pt>
                <c:pt idx="16">
                  <c:v>8.4375343218378731</c:v>
                </c:pt>
                <c:pt idx="17">
                  <c:v>7.6967054436611377</c:v>
                </c:pt>
                <c:pt idx="18">
                  <c:v>6.9275574122941634</c:v>
                </c:pt>
                <c:pt idx="19">
                  <c:v>6.1290563449114615</c:v>
                </c:pt>
                <c:pt idx="20">
                  <c:v>5.3001343640171186</c:v>
                </c:pt>
                <c:pt idx="21">
                  <c:v>4.43968854388784</c:v>
                </c:pt>
                <c:pt idx="22">
                  <c:v>3.5321830150188163</c:v>
                </c:pt>
                <c:pt idx="23">
                  <c:v>2.5899459470154156</c:v>
                </c:pt>
                <c:pt idx="24">
                  <c:v>1.6117291667985185</c:v>
                </c:pt>
                <c:pt idx="25">
                  <c:v>0.59624379984698095</c:v>
                </c:pt>
                <c:pt idx="26">
                  <c:v>0</c:v>
                </c:pt>
              </c:numCache>
            </c:numRef>
          </c:val>
          <c:smooth val="0"/>
          <c:extLst>
            <c:ext xmlns:c16="http://schemas.microsoft.com/office/drawing/2014/chart" uri="{C3380CC4-5D6E-409C-BE32-E72D297353CC}">
              <c16:uniqueId val="{00000004-26E1-4120-BC20-7415EF9A92DA}"/>
            </c:ext>
          </c:extLst>
        </c:ser>
        <c:ser>
          <c:idx val="1"/>
          <c:order val="1"/>
          <c:tx>
            <c:strRef>
              <c:f>'Green H2 for 2023 IRP'!$B$37</c:f>
              <c:strCache>
                <c:ptCount val="1"/>
                <c:pt idx="0">
                  <c:v>Green H2 Cost</c:v>
                </c:pt>
              </c:strCache>
            </c:strRef>
          </c:tx>
          <c:spPr>
            <a:ln w="38100" cap="rnd">
              <a:solidFill>
                <a:schemeClr val="accent2"/>
              </a:solidFill>
              <a:round/>
            </a:ln>
            <a:effectLst/>
          </c:spPr>
          <c:marker>
            <c:symbol val="circle"/>
            <c:size val="5"/>
            <c:spPr>
              <a:solidFill>
                <a:schemeClr val="accent2"/>
              </a:solidFill>
              <a:ln w="38100">
                <a:solidFill>
                  <a:schemeClr val="accent2"/>
                </a:solidFill>
              </a:ln>
              <a:effectLst/>
            </c:spPr>
          </c:marker>
          <c:val>
            <c:numRef>
              <c:f>'Green H2 for 2023 IRP'!$C$37:$AC$37</c:f>
              <c:numCache>
                <c:formatCode>"$"#,##0.00</c:formatCode>
                <c:ptCount val="27"/>
                <c:pt idx="0">
                  <c:v>39.914462829037539</c:v>
                </c:pt>
                <c:pt idx="1">
                  <c:v>40.02111186395237</c:v>
                </c:pt>
                <c:pt idx="2">
                  <c:v>40.121011056481514</c:v>
                </c:pt>
                <c:pt idx="3">
                  <c:v>40.213705318922969</c:v>
                </c:pt>
                <c:pt idx="4">
                  <c:v>40.298721027841133</c:v>
                </c:pt>
                <c:pt idx="5">
                  <c:v>40.375565381709926</c:v>
                </c:pt>
                <c:pt idx="6">
                  <c:v>40.443725738022906</c:v>
                </c:pt>
                <c:pt idx="7">
                  <c:v>40.463331579359732</c:v>
                </c:pt>
                <c:pt idx="8">
                  <c:v>40.47587835444596</c:v>
                </c:pt>
                <c:pt idx="9">
                  <c:v>40.480891424322991</c:v>
                </c:pt>
                <c:pt idx="10">
                  <c:v>40.477876830000682</c:v>
                </c:pt>
                <c:pt idx="11">
                  <c:v>40.466320623105176</c:v>
                </c:pt>
                <c:pt idx="12">
                  <c:v>40.352568501909886</c:v>
                </c:pt>
                <c:pt idx="13">
                  <c:v>40.222428905932873</c:v>
                </c:pt>
                <c:pt idx="14">
                  <c:v>40.075070364873355</c:v>
                </c:pt>
                <c:pt idx="15">
                  <c:v>39.909630077087286</c:v>
                </c:pt>
                <c:pt idx="16">
                  <c:v>39.725212862689077</c:v>
                </c:pt>
                <c:pt idx="17">
                  <c:v>39.766575948033626</c:v>
                </c:pt>
                <c:pt idx="18">
                  <c:v>39.79917467927595</c:v>
                </c:pt>
                <c:pt idx="19">
                  <c:v>39.822464043567805</c:v>
                </c:pt>
                <c:pt idx="20">
                  <c:v>39.835877255139863</c:v>
                </c:pt>
                <c:pt idx="21">
                  <c:v>39.838825007288648</c:v>
                </c:pt>
                <c:pt idx="22">
                  <c:v>39.816297890004641</c:v>
                </c:pt>
                <c:pt idx="23">
                  <c:v>39.781163693875882</c:v>
                </c:pt>
                <c:pt idx="24">
                  <c:v>39.732727357330489</c:v>
                </c:pt>
                <c:pt idx="25">
                  <c:v>39.670266945142259</c:v>
                </c:pt>
                <c:pt idx="26">
                  <c:v>39.593032739161409</c:v>
                </c:pt>
              </c:numCache>
            </c:numRef>
          </c:val>
          <c:smooth val="0"/>
          <c:extLst>
            <c:ext xmlns:c16="http://schemas.microsoft.com/office/drawing/2014/chart" uri="{C3380CC4-5D6E-409C-BE32-E72D297353CC}">
              <c16:uniqueId val="{00000005-26E1-4120-BC20-7415EF9A92DA}"/>
            </c:ext>
          </c:extLst>
        </c:ser>
        <c:dLbls>
          <c:showLegendKey val="0"/>
          <c:showVal val="0"/>
          <c:showCatName val="0"/>
          <c:showSerName val="0"/>
          <c:showPercent val="0"/>
          <c:showBubbleSize val="0"/>
        </c:dLbls>
        <c:marker val="1"/>
        <c:smooth val="0"/>
        <c:axId val="793796144"/>
        <c:axId val="793796472"/>
        <c:extLst/>
      </c:lineChart>
      <c:catAx>
        <c:axId val="79379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93796472"/>
        <c:crosses val="autoZero"/>
        <c:auto val="1"/>
        <c:lblAlgn val="ctr"/>
        <c:lblOffset val="100"/>
        <c:noMultiLvlLbl val="0"/>
      </c:catAx>
      <c:valAx>
        <c:axId val="793796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a:t>$/Dth</a:t>
                </a:r>
              </a:p>
            </c:rich>
          </c:tx>
          <c:layout>
            <c:manualLayout>
              <c:xMode val="edge"/>
              <c:yMode val="edge"/>
              <c:x val="1.9906231415702785E-2"/>
              <c:y val="0.33482002023690199"/>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93796144"/>
        <c:crosses val="autoZero"/>
        <c:crossBetween val="between"/>
      </c:valAx>
      <c:spPr>
        <a:noFill/>
        <a:ln>
          <a:noFill/>
        </a:ln>
        <a:effectLst/>
      </c:spPr>
    </c:plotArea>
    <c:legend>
      <c:legendPos val="b"/>
      <c:layout>
        <c:manualLayout>
          <c:xMode val="edge"/>
          <c:yMode val="edge"/>
          <c:x val="0.20511912390453488"/>
          <c:y val="0.87553796960652408"/>
          <c:w val="0.79488087609546509"/>
          <c:h val="4.7803247752734923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Syngas - Green Hydrogen Production Cost $/MMBtu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'BNEF H2 and Syngas Cost'!$O$2</c:f>
              <c:strCache>
                <c:ptCount val="1"/>
                <c:pt idx="0">
                  <c:v>Syngas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'BNEF H2 and Syngas Cost'!$A$3:$A$31</c:f>
              <c:numCache>
                <c:formatCode>General</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cat>
          <c:val>
            <c:numRef>
              <c:f>'BNEF H2 and Syngas Cost'!$O$3:$O$31</c:f>
              <c:numCache>
                <c:formatCode>"$"#,##0.00</c:formatCode>
                <c:ptCount val="29"/>
                <c:pt idx="0">
                  <c:v>34.7969495679747</c:v>
                </c:pt>
                <c:pt idx="1">
                  <c:v>32.973802117341322</c:v>
                </c:pt>
                <c:pt idx="2">
                  <c:v>31.15065466670794</c:v>
                </c:pt>
                <c:pt idx="3">
                  <c:v>29.327507216074562</c:v>
                </c:pt>
                <c:pt idx="4">
                  <c:v>27.50435976544118</c:v>
                </c:pt>
                <c:pt idx="5">
                  <c:v>25.681212314807802</c:v>
                </c:pt>
                <c:pt idx="6">
                  <c:v>23.858064864174423</c:v>
                </c:pt>
                <c:pt idx="7">
                  <c:v>22.034917413541045</c:v>
                </c:pt>
                <c:pt idx="8">
                  <c:v>20.211769962907663</c:v>
                </c:pt>
                <c:pt idx="9">
                  <c:v>19.716587404189656</c:v>
                </c:pt>
                <c:pt idx="10">
                  <c:v>19.22140484547165</c:v>
                </c:pt>
                <c:pt idx="11">
                  <c:v>18.726222286753643</c:v>
                </c:pt>
                <c:pt idx="12">
                  <c:v>18.231039728035636</c:v>
                </c:pt>
                <c:pt idx="13">
                  <c:v>17.735857169317629</c:v>
                </c:pt>
                <c:pt idx="14">
                  <c:v>17.240674610599619</c:v>
                </c:pt>
                <c:pt idx="15">
                  <c:v>16.745492051881612</c:v>
                </c:pt>
                <c:pt idx="16">
                  <c:v>16.250309493163606</c:v>
                </c:pt>
                <c:pt idx="17">
                  <c:v>15.755126934445599</c:v>
                </c:pt>
                <c:pt idx="18">
                  <c:v>15.259944375727592</c:v>
                </c:pt>
                <c:pt idx="19">
                  <c:v>14.764761817009585</c:v>
                </c:pt>
                <c:pt idx="20">
                  <c:v>14.269579258291579</c:v>
                </c:pt>
                <c:pt idx="21">
                  <c:v>13.774396699573572</c:v>
                </c:pt>
                <c:pt idx="22">
                  <c:v>13.279214140855565</c:v>
                </c:pt>
                <c:pt idx="23">
                  <c:v>12.784031582137555</c:v>
                </c:pt>
                <c:pt idx="24">
                  <c:v>12.288849023419548</c:v>
                </c:pt>
                <c:pt idx="25">
                  <c:v>11.793666464701541</c:v>
                </c:pt>
                <c:pt idx="26">
                  <c:v>11.298483905983534</c:v>
                </c:pt>
                <c:pt idx="27">
                  <c:v>10.803301347265528</c:v>
                </c:pt>
                <c:pt idx="28">
                  <c:v>10.308118788547517</c:v>
                </c:pt>
              </c:numCache>
            </c:numRef>
          </c:val>
          <c:smooth val="0"/>
          <c:extLst>
            <c:ext xmlns:c16="http://schemas.microsoft.com/office/drawing/2014/chart" uri="{C3380CC4-5D6E-409C-BE32-E72D297353CC}">
              <c16:uniqueId val="{00000000-81D9-4BD1-BC0D-A6148BCF3098}"/>
            </c:ext>
          </c:extLst>
        </c:ser>
        <c:ser>
          <c:idx val="1"/>
          <c:order val="1"/>
          <c:tx>
            <c:strRef>
              <c:f>'BNEF H2 and Syngas Cost'!$Q$34</c:f>
              <c:strCache>
                <c:ptCount val="1"/>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'BNEF H2 and Syngas Cost'!$Q$35:$Q$65</c:f>
              <c:numCache>
                <c:formatCode>General</c:formatCode>
                <c:ptCount val="31"/>
                <c:pt idx="0" formatCode="&quot;$&quot;#,##0.00">
                  <c:v>94.572336586401434</c:v>
                </c:pt>
                <c:pt idx="5" formatCode="&quot;$&quot;#,##0.00">
                  <c:v>87.967770706621266</c:v>
                </c:pt>
                <c:pt idx="10" formatCode="&quot;$&quot;#,##0.00">
                  <c:v>83.721663008343967</c:v>
                </c:pt>
                <c:pt idx="15" formatCode="&quot;$&quot;#,##0.00">
                  <c:v>79.130647649546418</c:v>
                </c:pt>
                <c:pt idx="20" formatCode="&quot;$&quot;#,##0.00">
                  <c:v>73.995743607676999</c:v>
                </c:pt>
                <c:pt idx="25" formatCode="&quot;$&quot;#,##0.00">
                  <c:v>70.175464163059843</c:v>
                </c:pt>
                <c:pt idx="30" formatCode="&quot;$&quot;#,##0.00">
                  <c:v>66.28351457878837</c:v>
                </c:pt>
              </c:numCache>
            </c:numRef>
          </c:val>
          <c:smooth val="0"/>
          <c:extLst>
            <c:ext xmlns:c16="http://schemas.microsoft.com/office/drawing/2014/chart" uri="{C3380CC4-5D6E-409C-BE32-E72D297353CC}">
              <c16:uniqueId val="{00000001-81D9-4BD1-BC0D-A6148BCF3098}"/>
            </c:ext>
          </c:extLst>
        </c:ser>
        <c:dLbls>
          <c:showLegendKey val="0"/>
          <c:showVal val="0"/>
          <c:showCatName val="0"/>
          <c:showSerName val="0"/>
          <c:showPercent val="0"/>
          <c:showBubbleSize val="0"/>
        </c:dLbls>
        <c:marker val="1"/>
        <c:smooth val="0"/>
        <c:axId val="1065315816"/>
        <c:axId val="1065314832"/>
      </c:lineChart>
      <c:catAx>
        <c:axId val="1065315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314832"/>
        <c:crosses val="autoZero"/>
        <c:auto val="1"/>
        <c:lblAlgn val="ctr"/>
        <c:lblOffset val="100"/>
        <c:noMultiLvlLbl val="0"/>
      </c:catAx>
      <c:valAx>
        <c:axId val="10653148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315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76" workbookViewId="0" zoomToFit="1"/>
  </sheetViews>
  <pageMargins left="0.7" right="0.7" top="0.75" bottom="0.75" header="0.3" footer="0.3"/>
  <drawing r:id="rId1"/>
</chartsheet>
</file>

<file path=xl/drawings/_rels/drawing1.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1.png" />
</Relationships>
</file>

<file path=xl/drawings/_rels/drawing3.xml.rels>&#65279;<?xml version="1.0" encoding="UTF-8" standalone="yes"?>
<Relationships xmlns="http://schemas.openxmlformats.org/package/2006/relationships">
  <Relationship Id="rId1" Type="http://schemas.openxmlformats.org/officeDocument/2006/relationships/image" Target="../media/image2.emf" />
</Relationships>
</file>

<file path=xl/drawings/_rels/drawing4.xml.rels>&#65279;<?xml version="1.0" encoding="UTF-8" standalone="yes"?>
<Relationships xmlns="http://schemas.openxmlformats.org/package/2006/relationships">
  <Relationship Id="rId1" Type="http://schemas.openxmlformats.org/officeDocument/2006/relationships/chart" Target="../charts/chart2.xml" />
</Relationships>
</file>

<file path=xl/drawings/drawing1.xml><?xml version="1.0" encoding="utf-8"?>
<xdr:wsDr xmlns:xdr="http://schemas.openxmlformats.org/drawingml/2006/spreadsheetDrawing" xmlns:a="http://schemas.openxmlformats.org/drawingml/2006/main">
  <xdr:absoluteAnchor>
    <xdr:pos x="0" y="0"/>
    <xdr:ext cx="8664408" cy="6291513"/>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642938</xdr:colOff>
      <xdr:row>98</xdr:row>
      <xdr:rowOff>103188</xdr:rowOff>
    </xdr:from>
    <xdr:to>
      <xdr:col>6</xdr:col>
      <xdr:colOff>714048</xdr:colOff>
      <xdr:row>131</xdr:row>
      <xdr:rowOff>120498</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642938" y="20764501"/>
          <a:ext cx="8675360" cy="630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188793</xdr:colOff>
      <xdr:row>18</xdr:row>
      <xdr:rowOff>57151</xdr:rowOff>
    </xdr:from>
    <xdr:ext cx="4745157" cy="2590800"/>
    <xdr:pic>
      <xdr:nvPicPr>
        <xdr:cNvPr id="2" name="Picture 1">
          <a:extLst>
            <a:ext uri="{FF2B5EF4-FFF2-40B4-BE49-F238E27FC236}">
              <a16:creationId xmlns:a16="http://schemas.microsoft.com/office/drawing/2014/main" id="{D1FD99DB-CC8A-4E40-8B65-07F58ABCB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37718" y="3486151"/>
          <a:ext cx="4745157" cy="25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1933574</xdr:colOff>
      <xdr:row>32</xdr:row>
      <xdr:rowOff>28574</xdr:rowOff>
    </xdr:from>
    <xdr:to>
      <xdr:col>8</xdr:col>
      <xdr:colOff>581024</xdr:colOff>
      <xdr:row>54</xdr:row>
      <xdr:rowOff>152399</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s://ethreesf.sharepoint.com/sites/ExelonCarbonNeutral/Shared%20Documents/General/Analysis/DACCS%20Process%20Energy%20and%20Cost_JCS_modified.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DAC Model"/>
      <sheetName val="BECCS Negative Emissions"/>
      <sheetName val="NAS Report"/>
      <sheetName val="DAC Cost and Energy Requirement"/>
      <sheetName val="T&amp;S Cost and Potential"/>
      <sheetName val="Industrial CCS Costs"/>
      <sheetName val="Navigant - datasheet"/>
    </sheetNames>
    <sheetDataSet>
      <sheetData sheetId="0" refreshError="1"/>
      <sheetData sheetId="1" refreshError="1"/>
      <sheetData sheetId="2" refreshError="1"/>
      <sheetData sheetId="3" refreshError="1"/>
      <sheetData sheetId="4">
        <row r="2">
          <cell r="D2">
            <v>3.6</v>
          </cell>
        </row>
      </sheetData>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Roderick Go" id="{F18EE4DB-EAC9-B241-BEE8-B168D9A789C3}" userId="S::roderick@ethree.com::6820df96-2ef9-4479-871b-39e346d7116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E7" totalsRowShown="0" headerRowDxfId="31" headerRowBorderDxfId="30" tableBorderDxfId="29" totalsRowBorderDxfId="28">
  <autoFilter ref="B2:E7" xr:uid="{00000000-0009-0000-0100-000001000000}">
    <filterColumn colId="0" hiddenButton="1"/>
    <filterColumn colId="1" hiddenButton="1"/>
    <filterColumn colId="2" hiddenButton="1"/>
    <filterColumn colId="3" hiddenButton="1"/>
  </autoFilter>
  <tableColumns count="4">
    <tableColumn id="1" xr3:uid="{00000000-0010-0000-0000-000001000000}" name="Cost in $/MMBtu for Green H2 with IRA PTCs" dataDxfId="27"/>
    <tableColumn id="2" xr3:uid="{00000000-0010-0000-0000-000002000000}" name="2028" dataDxfId="26"/>
    <tableColumn id="3" xr3:uid="{00000000-0010-0000-0000-000003000000}" name="2030" dataDxfId="25"/>
    <tableColumn id="4" xr3:uid="{00000000-0010-0000-0000-000004000000}" name="2032" dataDxfId="24"/>
  </tableColumns>
  <tableStyleInfo name="TableStyleMedium2" showFirstColumn="0" showLastColumn="0" showRowStripes="1" showColumnStripes="0"/>
</table>
</file>

<file path=xl/theme/theme1.xml><?xml version="1.0" encoding="utf-8"?>
<a:theme xmlns:a="http://schemas.openxmlformats.org/drawingml/2006/main" name="E3 Excel Theme">
  <a:themeElements>
    <a:clrScheme name="PSE 2021-1">
      <a:dk1>
        <a:sysClr val="windowText" lastClr="000000"/>
      </a:dk1>
      <a:lt1>
        <a:sysClr val="window" lastClr="FFFFFF"/>
      </a:lt1>
      <a:dk2>
        <a:srgbClr val="44546A"/>
      </a:dk2>
      <a:lt2>
        <a:srgbClr val="E7E6E6"/>
      </a:lt2>
      <a:accent1>
        <a:srgbClr val="006671"/>
      </a:accent1>
      <a:accent2>
        <a:srgbClr val="58C3B4"/>
      </a:accent2>
      <a:accent3>
        <a:srgbClr val="C3E7E3"/>
      </a:accent3>
      <a:accent4>
        <a:srgbClr val="668B53"/>
      </a:accent4>
      <a:accent5>
        <a:srgbClr val="5B234F"/>
      </a:accent5>
      <a:accent6>
        <a:srgbClr val="E45D48"/>
      </a:accent6>
      <a:hlink>
        <a:srgbClr val="474B55"/>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B32" dT="2021-02-01T18:34:08.24" personId="{F18EE4DB-EAC9-B241-BEE8-B168D9A789C3}" id="{F373FC35-D1B9-A848-8501-BFD2B466FEB2}">
    <text>Where do these values come from now? I don’t know of LCOEs in this range from the pro forma</text>
  </threadedComment>
</ThreadedComment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table" Target="../tables/table1.xml"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3.bin" />
  <Relationship Id="rId4" Type="http://schemas.microsoft.com/office/2017/10/relationships/threadedComment" Target="../threadedComments/threadedComment1.xml"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_rels/sheet14.xml.rels>&#65279;<?xml version="1.0" encoding="UTF-8" standalone="yes"?>
<Relationships xmlns="http://schemas.openxmlformats.org/package/2006/relationships">
  <Relationship Id="rId8" Type="http://schemas.openxmlformats.org/officeDocument/2006/relationships/hyperlink" Target="https://www.sciencedirect.com/science/article/pii/S0378775308018934" TargetMode="External" />
  <Relationship Id="rId13" Type="http://schemas.openxmlformats.org/officeDocument/2006/relationships/hyperlink" Target="https://www.arb.ca.gov/cc/etaac/meetings/102909pubmeet/mtgmaterials102909/basicsofcaleraprocess.pdf" TargetMode="External" />
  <Relationship Id="rId3" Type="http://schemas.openxmlformats.org/officeDocument/2006/relationships/hyperlink" Target="https://energy.gov/sites/prod/files/2016/09/f33/CHP-Steam%20Turbine.pdf" TargetMode="External" />
  <Relationship Id="rId7" Type="http://schemas.openxmlformats.org/officeDocument/2006/relationships/hyperlink" Target="https://ac.els-cdn.com/S036031990901386X/1-s2.0-S036031990901386X-main.pdf?_tid=e0a9b69e-f267-11e7-a8e2-00000aab0f26&amp;acdnat=1515191542_13d8c3c07c64648fe495bd82eabc1e55" TargetMode="External" />
  <Relationship Id="rId12" Type="http://schemas.openxmlformats.org/officeDocument/2006/relationships/hyperlink" Target="http://www.sciencedirect.com/science/article/pii/S0360319914008623?via%3Dihub" TargetMode="External" />
  <Relationship Id="rId2" Type="http://schemas.openxmlformats.org/officeDocument/2006/relationships/hyperlink" Target="https://energy.gov/sites/prod/files/2016/09/f33/CHP-Steam%20Turbine.pdf" TargetMode="External" />
  <Relationship Id="rId16" Type="http://schemas.openxmlformats.org/officeDocument/2006/relationships/printerSettings" Target="../printerSettings/printerSettings8.bin" />
  <Relationship Id="rId1" Type="http://schemas.openxmlformats.org/officeDocument/2006/relationships/hyperlink" Target="https://www.hydrogen.energy.gov/pdfs/16014_h2_production_cost_solid_oxide_electrolysis.pdf" TargetMode="External" />
  <Relationship Id="rId6" Type="http://schemas.openxmlformats.org/officeDocument/2006/relationships/hyperlink" Target="https://www.sciencedirect.com/science/article/pii/S096014811730993X" TargetMode="External" />
  <Relationship Id="rId11" Type="http://schemas.openxmlformats.org/officeDocument/2006/relationships/hyperlink" Target="http://www.sciencedirect.com/science/article/pii/S0360319914008623?via%3Dihub" TargetMode="External" />
  <Relationship Id="rId5" Type="http://schemas.openxmlformats.org/officeDocument/2006/relationships/hyperlink" Target="http://ecst.ecsdl.org/content/7/1/933.full.pdf+html" TargetMode="External" />
  <Relationship Id="rId15" Type="http://schemas.openxmlformats.org/officeDocument/2006/relationships/hyperlink" Target="https://www.nap.edu/catalog/25259/negative-emissions-technologies-and-reliable-sequestration-a-research-agenda" TargetMode="External" />
  <Relationship Id="rId10" Type="http://schemas.openxmlformats.org/officeDocument/2006/relationships/hyperlink" Target="http://www.sciencedirect.com/science/article/pii/S0360319914008623?via%3Dihub" TargetMode="External" />
  <Relationship Id="rId4" Type="http://schemas.openxmlformats.org/officeDocument/2006/relationships/hyperlink" Target="https://www.hydrogen.energy.gov/pdfs/review16/pd124_petri_2016_o.pdf" TargetMode="External" />
  <Relationship Id="rId9" Type="http://schemas.openxmlformats.org/officeDocument/2006/relationships/hyperlink" Target="http://www.sciencedirect.com/science/article/pii/S0360319914008623?via%3Dihub" TargetMode="External" />
  <Relationship Id="rId14" Type="http://schemas.openxmlformats.org/officeDocument/2006/relationships/hyperlink" Target="http://www.dtic.mil/cgi-bin/GetTRDoc?Location=U2&amp;doc=GetTRDoc.pdf&amp;AD=ADA539765"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88464-9F38-4BA8-A30A-5A84DBB37746}">
  <dimension ref="B2:V11"/>
  <sheetViews>
    <sheetView tabSelected="1" workbookViewId="0">
      <selection activeCell="G29" sqref="G29"/>
    </sheetView>
  </sheetViews>
  <sheetFormatPr defaultRowHeight="11.5" x14ac:dyDescent="0.25"/>
  <cols>
    <col min="1" max="16384" width="8.796875" style="5"/>
  </cols>
  <sheetData>
    <row r="2" spans="2:22" ht="12" thickBot="1" x14ac:dyDescent="0.3"/>
    <row r="3" spans="2:22" ht="25.5" thickBot="1" x14ac:dyDescent="0.3">
      <c r="B3" s="285" t="s">
        <v>726</v>
      </c>
      <c r="C3" s="286"/>
      <c r="D3" s="286"/>
      <c r="E3" s="286"/>
      <c r="F3" s="286"/>
      <c r="G3" s="286"/>
      <c r="H3" s="286"/>
      <c r="I3" s="286"/>
      <c r="J3" s="286"/>
      <c r="K3" s="286"/>
      <c r="L3" s="286"/>
      <c r="M3" s="286"/>
      <c r="N3" s="286"/>
      <c r="O3" s="286"/>
      <c r="P3" s="286"/>
      <c r="Q3" s="286"/>
      <c r="R3" s="286"/>
      <c r="S3" s="286"/>
      <c r="T3" s="286"/>
      <c r="U3" s="286"/>
      <c r="V3" s="287"/>
    </row>
    <row r="5" spans="2:22" ht="12" thickBot="1" x14ac:dyDescent="0.3"/>
    <row r="6" spans="2:22" ht="26" thickTop="1" thickBot="1" x14ac:dyDescent="0.3">
      <c r="B6" s="288" t="s">
        <v>727</v>
      </c>
      <c r="C6" s="289"/>
      <c r="D6" s="289"/>
      <c r="E6" s="289"/>
      <c r="F6" s="289"/>
      <c r="G6" s="289"/>
      <c r="H6" s="289"/>
      <c r="I6" s="289"/>
      <c r="J6" s="289"/>
      <c r="K6" s="289"/>
      <c r="L6" s="289"/>
      <c r="M6" s="289"/>
      <c r="N6" s="289"/>
      <c r="O6" s="289"/>
      <c r="P6" s="289"/>
      <c r="Q6" s="289"/>
      <c r="R6" s="289"/>
      <c r="S6" s="289"/>
      <c r="T6" s="289"/>
      <c r="U6" s="289"/>
      <c r="V6" s="290"/>
    </row>
    <row r="7" spans="2:22" ht="12" thickTop="1" x14ac:dyDescent="0.25"/>
    <row r="11" spans="2:22" ht="25" x14ac:dyDescent="0.5">
      <c r="B11" s="283" t="s">
        <v>728</v>
      </c>
    </row>
  </sheetData>
  <mergeCells count="2">
    <mergeCell ref="B3:V3"/>
    <mergeCell ref="B6:V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99"/>
  <sheetViews>
    <sheetView topLeftCell="A37" zoomScale="120" zoomScaleNormal="120" workbookViewId="0">
      <selection activeCell="C25" sqref="C25"/>
    </sheetView>
  </sheetViews>
  <sheetFormatPr defaultColWidth="9.09765625" defaultRowHeight="15.5" x14ac:dyDescent="0.25"/>
  <cols>
    <col min="1" max="1" width="17.09765625" style="206" customWidth="1"/>
    <col min="2" max="2" width="66.69921875" style="208" customWidth="1"/>
    <col min="3" max="9" width="11.296875" style="206" customWidth="1"/>
    <col min="10" max="10" width="9.69921875" style="206" bestFit="1" customWidth="1"/>
    <col min="11" max="32" width="9.59765625" style="206" customWidth="1"/>
    <col min="33" max="39" width="9.69921875" style="206" customWidth="1"/>
    <col min="40" max="324" width="9.09765625" style="206"/>
    <col min="325" max="326" width="13.296875" style="206" customWidth="1"/>
    <col min="327" max="328" width="9.8984375" style="206" customWidth="1"/>
    <col min="329" max="16384" width="9.09765625" style="206"/>
  </cols>
  <sheetData>
    <row r="1" spans="2:9" ht="17.5" x14ac:dyDescent="0.25">
      <c r="B1" s="210" t="s">
        <v>668</v>
      </c>
    </row>
    <row r="2" spans="2:9" x14ac:dyDescent="0.25">
      <c r="B2" s="212" t="s">
        <v>662</v>
      </c>
      <c r="C2" s="213">
        <v>2020</v>
      </c>
      <c r="D2" s="213">
        <v>2025</v>
      </c>
      <c r="E2" s="213">
        <v>2030</v>
      </c>
      <c r="F2" s="213">
        <v>2035</v>
      </c>
      <c r="G2" s="213">
        <v>2040</v>
      </c>
      <c r="H2" s="213">
        <v>2045</v>
      </c>
      <c r="I2" s="213">
        <v>2050</v>
      </c>
    </row>
    <row r="3" spans="2:9" ht="31" x14ac:dyDescent="0.25">
      <c r="B3" s="212" t="s">
        <v>144</v>
      </c>
      <c r="C3" s="214">
        <v>10.206120755324298</v>
      </c>
      <c r="D3" s="214">
        <v>7.7964100106767535</v>
      </c>
      <c r="E3" s="214">
        <v>7.4534919160979873</v>
      </c>
      <c r="F3" s="214">
        <v>6.827045525174162</v>
      </c>
      <c r="G3" s="214">
        <v>6.3198646780578107</v>
      </c>
      <c r="H3" s="214">
        <v>5.8263914214040646</v>
      </c>
      <c r="I3" s="214">
        <v>5.3460616392882931</v>
      </c>
    </row>
    <row r="4" spans="2:9" x14ac:dyDescent="0.25">
      <c r="B4" s="212" t="s">
        <v>146</v>
      </c>
      <c r="C4" s="214">
        <v>18.094411989103769</v>
      </c>
      <c r="D4" s="214">
        <v>17.44082285516583</v>
      </c>
      <c r="E4" s="214">
        <v>15.606107107285329</v>
      </c>
      <c r="F4" s="214">
        <v>13.959434782097871</v>
      </c>
      <c r="G4" s="214">
        <v>11.900039489071718</v>
      </c>
      <c r="H4" s="214">
        <v>10.493700020778041</v>
      </c>
      <c r="I4" s="214">
        <v>9.0447998112938475</v>
      </c>
    </row>
    <row r="5" spans="2:9" ht="31" x14ac:dyDescent="0.25">
      <c r="B5" s="212" t="s">
        <v>148</v>
      </c>
      <c r="C5" s="214">
        <v>0</v>
      </c>
      <c r="D5" s="214">
        <v>0</v>
      </c>
      <c r="E5" s="214">
        <v>0</v>
      </c>
      <c r="F5" s="214">
        <v>0</v>
      </c>
      <c r="G5" s="214">
        <v>0</v>
      </c>
      <c r="H5" s="214">
        <v>0</v>
      </c>
      <c r="I5" s="214">
        <v>0</v>
      </c>
    </row>
    <row r="6" spans="2:9" ht="31" x14ac:dyDescent="0.25">
      <c r="B6" s="212" t="s">
        <v>150</v>
      </c>
      <c r="C6" s="214">
        <v>0</v>
      </c>
      <c r="D6" s="214">
        <v>0</v>
      </c>
      <c r="E6" s="214">
        <v>0</v>
      </c>
      <c r="F6" s="214">
        <v>0</v>
      </c>
      <c r="G6" s="214">
        <v>0</v>
      </c>
      <c r="H6" s="214">
        <v>0</v>
      </c>
      <c r="I6" s="214">
        <v>0</v>
      </c>
    </row>
    <row r="7" spans="2:9" ht="31" x14ac:dyDescent="0.25">
      <c r="B7" s="212" t="s">
        <v>152</v>
      </c>
      <c r="C7" s="214">
        <v>2.548023250006537E-2</v>
      </c>
      <c r="D7" s="214">
        <v>2.5480232500061817E-2</v>
      </c>
      <c r="E7" s="214">
        <v>2.5480232500061817E-2</v>
      </c>
      <c r="F7" s="214">
        <v>2.4772448263947311E-2</v>
      </c>
      <c r="G7" s="214">
        <v>2.443309965759255E-2</v>
      </c>
      <c r="H7" s="214">
        <v>2.4102922635192314E-2</v>
      </c>
      <c r="I7" s="214">
        <v>2.3781550333390911E-2</v>
      </c>
    </row>
    <row r="8" spans="2:9" x14ac:dyDescent="0.25">
      <c r="B8" s="212" t="s">
        <v>154</v>
      </c>
      <c r="C8" s="214">
        <v>3.3900094915542507</v>
      </c>
      <c r="D8" s="214">
        <v>3.3900094915542507</v>
      </c>
      <c r="E8" s="214">
        <v>3.3900094915542507</v>
      </c>
      <c r="F8" s="214">
        <v>3.3900094915542507</v>
      </c>
      <c r="G8" s="214">
        <v>3.3900094915542507</v>
      </c>
      <c r="H8" s="214">
        <v>3.3900094915542507</v>
      </c>
      <c r="I8" s="214">
        <v>3.3900094915542507</v>
      </c>
    </row>
    <row r="9" spans="2:9" ht="31" x14ac:dyDescent="0.25">
      <c r="B9" s="212" t="s">
        <v>156</v>
      </c>
      <c r="C9" s="214">
        <v>3.9682539682539684</v>
      </c>
      <c r="D9" s="214">
        <v>3.9682539682539684</v>
      </c>
      <c r="E9" s="214">
        <v>3.9682539682539684</v>
      </c>
      <c r="F9" s="214">
        <v>3.8580246913580249</v>
      </c>
      <c r="G9" s="214">
        <v>3.8051750380517504</v>
      </c>
      <c r="H9" s="214">
        <v>3.7537537537537538</v>
      </c>
      <c r="I9" s="214">
        <v>3.7037037037037037</v>
      </c>
    </row>
    <row r="10" spans="2:9" x14ac:dyDescent="0.25">
      <c r="B10" s="212" t="s">
        <v>158</v>
      </c>
      <c r="C10" s="214">
        <v>35.684276436736354</v>
      </c>
      <c r="D10" s="214">
        <v>32.620976558150865</v>
      </c>
      <c r="E10" s="214">
        <v>30.4433427156916</v>
      </c>
      <c r="F10" s="214">
        <v>28.05928693844826</v>
      </c>
      <c r="G10" s="214">
        <v>25.439521796393123</v>
      </c>
      <c r="H10" s="214">
        <v>23.487957610125303</v>
      </c>
      <c r="I10" s="214">
        <v>21.508356196173484</v>
      </c>
    </row>
    <row r="12" spans="2:9" x14ac:dyDescent="0.25">
      <c r="B12" s="211"/>
      <c r="C12" s="207"/>
    </row>
    <row r="13" spans="2:9" ht="17.5" x14ac:dyDescent="0.25">
      <c r="B13" s="218" t="s">
        <v>661</v>
      </c>
      <c r="C13" s="213">
        <v>2020</v>
      </c>
      <c r="D13" s="213">
        <v>2025</v>
      </c>
      <c r="E13" s="213">
        <v>2030</v>
      </c>
      <c r="F13" s="213">
        <v>2035</v>
      </c>
      <c r="G13" s="213">
        <v>2040</v>
      </c>
      <c r="H13" s="213">
        <v>2045</v>
      </c>
      <c r="I13" s="213">
        <v>2050</v>
      </c>
    </row>
    <row r="14" spans="2:9" ht="31" x14ac:dyDescent="0.25">
      <c r="B14" s="212" t="s">
        <v>144</v>
      </c>
      <c r="C14" s="214">
        <f t="shared" ref="C14:I21" si="0">C3/$C$44/0.91</f>
        <v>11.832998683863218</v>
      </c>
      <c r="D14" s="214">
        <f t="shared" si="0"/>
        <v>9.039174786078128</v>
      </c>
      <c r="E14" s="214">
        <f t="shared" si="0"/>
        <v>8.6415947986273043</v>
      </c>
      <c r="F14" s="214">
        <f t="shared" si="0"/>
        <v>7.9152914854467857</v>
      </c>
      <c r="G14" s="214">
        <f t="shared" si="0"/>
        <v>7.3272649041154221</v>
      </c>
      <c r="H14" s="214">
        <f t="shared" si="0"/>
        <v>6.7551309330903138</v>
      </c>
      <c r="I14" s="214">
        <f t="shared" si="0"/>
        <v>6.198235535136968</v>
      </c>
    </row>
    <row r="15" spans="2:9" x14ac:dyDescent="0.25">
      <c r="B15" s="212" t="s">
        <v>146</v>
      </c>
      <c r="C15" s="214">
        <f t="shared" si="0"/>
        <v>20.978700760584953</v>
      </c>
      <c r="D15" s="214">
        <f t="shared" si="0"/>
        <v>20.220928091900792</v>
      </c>
      <c r="E15" s="214">
        <f t="shared" si="0"/>
        <v>18.093754648591553</v>
      </c>
      <c r="F15" s="214">
        <f t="shared" si="0"/>
        <v>16.184599160054706</v>
      </c>
      <c r="G15" s="214">
        <f t="shared" si="0"/>
        <v>13.796931761624217</v>
      </c>
      <c r="H15" s="214">
        <f t="shared" si="0"/>
        <v>12.166418712020858</v>
      </c>
      <c r="I15" s="214">
        <f t="shared" si="0"/>
        <v>10.486560646170368</v>
      </c>
    </row>
    <row r="16" spans="2:9" ht="31" x14ac:dyDescent="0.25">
      <c r="B16" s="212" t="s">
        <v>148</v>
      </c>
      <c r="C16" s="214">
        <f t="shared" si="0"/>
        <v>0</v>
      </c>
      <c r="D16" s="214">
        <f t="shared" si="0"/>
        <v>0</v>
      </c>
      <c r="E16" s="214">
        <f t="shared" si="0"/>
        <v>0</v>
      </c>
      <c r="F16" s="214">
        <f t="shared" si="0"/>
        <v>0</v>
      </c>
      <c r="G16" s="214">
        <f t="shared" si="0"/>
        <v>0</v>
      </c>
      <c r="H16" s="214">
        <f t="shared" si="0"/>
        <v>0</v>
      </c>
      <c r="I16" s="214">
        <f t="shared" si="0"/>
        <v>0</v>
      </c>
    </row>
    <row r="17" spans="2:29" ht="31" x14ac:dyDescent="0.25">
      <c r="B17" s="212" t="s">
        <v>150</v>
      </c>
      <c r="C17" s="214">
        <f t="shared" si="0"/>
        <v>0</v>
      </c>
      <c r="D17" s="214">
        <f t="shared" si="0"/>
        <v>0</v>
      </c>
      <c r="E17" s="214">
        <f t="shared" si="0"/>
        <v>0</v>
      </c>
      <c r="F17" s="214">
        <f t="shared" si="0"/>
        <v>0</v>
      </c>
      <c r="G17" s="214">
        <f t="shared" si="0"/>
        <v>0</v>
      </c>
      <c r="H17" s="214">
        <f t="shared" si="0"/>
        <v>0</v>
      </c>
      <c r="I17" s="214">
        <f t="shared" si="0"/>
        <v>0</v>
      </c>
    </row>
    <row r="18" spans="2:29" ht="31" x14ac:dyDescent="0.25">
      <c r="B18" s="212" t="s">
        <v>152</v>
      </c>
      <c r="C18" s="214">
        <f t="shared" si="0"/>
        <v>2.9541837184369271E-2</v>
      </c>
      <c r="D18" s="214">
        <f t="shared" si="0"/>
        <v>2.9541837184365149E-2</v>
      </c>
      <c r="E18" s="214">
        <f t="shared" si="0"/>
        <v>2.9541837184365149E-2</v>
      </c>
      <c r="F18" s="214">
        <f t="shared" si="0"/>
        <v>2.8721230595908618E-2</v>
      </c>
      <c r="G18" s="214">
        <f t="shared" si="0"/>
        <v>2.8327789080896958E-2</v>
      </c>
      <c r="H18" s="214">
        <f t="shared" si="0"/>
        <v>2.7944981120343913E-2</v>
      </c>
      <c r="I18" s="214">
        <f t="shared" si="0"/>
        <v>2.7572381372074E-2</v>
      </c>
    </row>
    <row r="19" spans="2:29" x14ac:dyDescent="0.25">
      <c r="B19" s="212" t="s">
        <v>154</v>
      </c>
      <c r="C19" s="214">
        <f t="shared" si="0"/>
        <v>3.9303844049580472</v>
      </c>
      <c r="D19" s="214">
        <f t="shared" si="0"/>
        <v>3.9303844049580472</v>
      </c>
      <c r="E19" s="214">
        <f t="shared" si="0"/>
        <v>3.9303844049580472</v>
      </c>
      <c r="F19" s="214">
        <f t="shared" si="0"/>
        <v>3.9303844049580472</v>
      </c>
      <c r="G19" s="214">
        <f t="shared" si="0"/>
        <v>3.9303844049580472</v>
      </c>
      <c r="H19" s="214">
        <f t="shared" si="0"/>
        <v>3.9303844049580472</v>
      </c>
      <c r="I19" s="214">
        <f t="shared" si="0"/>
        <v>3.9303844049580472</v>
      </c>
    </row>
    <row r="20" spans="2:29" ht="31" x14ac:dyDescent="0.25">
      <c r="B20" s="212" t="s">
        <v>156</v>
      </c>
      <c r="C20" s="214">
        <f t="shared" si="0"/>
        <v>4.6008023135615126</v>
      </c>
      <c r="D20" s="214">
        <f t="shared" si="0"/>
        <v>4.6008023135615126</v>
      </c>
      <c r="E20" s="214">
        <f t="shared" si="0"/>
        <v>4.6008023135615126</v>
      </c>
      <c r="F20" s="214">
        <f t="shared" si="0"/>
        <v>4.4730022492959156</v>
      </c>
      <c r="G20" s="214">
        <f t="shared" si="0"/>
        <v>4.4117282458809024</v>
      </c>
      <c r="H20" s="214">
        <f t="shared" si="0"/>
        <v>4.3521102966122411</v>
      </c>
      <c r="I20" s="214">
        <f t="shared" si="0"/>
        <v>4.2940821593240779</v>
      </c>
    </row>
    <row r="21" spans="2:29" x14ac:dyDescent="0.25">
      <c r="B21" s="212" t="s">
        <v>158</v>
      </c>
      <c r="C21" s="214">
        <f t="shared" si="0"/>
        <v>41.372428000152105</v>
      </c>
      <c r="D21" s="214">
        <f t="shared" si="0"/>
        <v>37.820831433682841</v>
      </c>
      <c r="E21" s="214">
        <f t="shared" si="0"/>
        <v>35.296078002922776</v>
      </c>
      <c r="F21" s="214">
        <f t="shared" si="0"/>
        <v>32.531998530351366</v>
      </c>
      <c r="G21" s="214">
        <f t="shared" si="0"/>
        <v>29.494637105659489</v>
      </c>
      <c r="H21" s="214">
        <f t="shared" si="0"/>
        <v>27.231989327801806</v>
      </c>
      <c r="I21" s="214">
        <f t="shared" si="0"/>
        <v>24.936835126961533</v>
      </c>
    </row>
    <row r="23" spans="2:29" ht="18" x14ac:dyDescent="0.25">
      <c r="B23" s="242" t="s">
        <v>661</v>
      </c>
      <c r="C23" s="213">
        <v>2020</v>
      </c>
      <c r="D23" s="213">
        <v>2025</v>
      </c>
      <c r="E23" s="213">
        <v>2030</v>
      </c>
      <c r="F23" s="213">
        <v>2035</v>
      </c>
      <c r="G23" s="213">
        <v>2040</v>
      </c>
      <c r="H23" s="213">
        <v>2045</v>
      </c>
      <c r="I23" s="213">
        <v>2050</v>
      </c>
    </row>
    <row r="24" spans="2:29" x14ac:dyDescent="0.25">
      <c r="B24" s="212" t="s">
        <v>663</v>
      </c>
      <c r="C24" s="215">
        <f>C$15+C$19+C$18</f>
        <v>24.938627002727369</v>
      </c>
      <c r="D24" s="215">
        <f t="shared" ref="D24:I24" si="1">D$15+D$19+D$18</f>
        <v>24.180854334043204</v>
      </c>
      <c r="E24" s="215">
        <f t="shared" si="1"/>
        <v>22.053680890733965</v>
      </c>
      <c r="F24" s="215">
        <f t="shared" si="1"/>
        <v>20.143704795608663</v>
      </c>
      <c r="G24" s="215">
        <f t="shared" si="1"/>
        <v>17.75564395566316</v>
      </c>
      <c r="H24" s="215">
        <f t="shared" si="1"/>
        <v>16.12474809809925</v>
      </c>
      <c r="I24" s="215">
        <f t="shared" si="1"/>
        <v>14.44451743250049</v>
      </c>
    </row>
    <row r="25" spans="2:29" x14ac:dyDescent="0.25">
      <c r="B25" s="212" t="s">
        <v>664</v>
      </c>
      <c r="C25" s="215">
        <f>C$14+C$20</f>
        <v>16.433800997424733</v>
      </c>
      <c r="D25" s="215">
        <f t="shared" ref="D25:I25" si="2">D$14+D$20</f>
        <v>13.639977099639641</v>
      </c>
      <c r="E25" s="215">
        <f t="shared" si="2"/>
        <v>13.242397112188817</v>
      </c>
      <c r="F25" s="215">
        <f t="shared" si="2"/>
        <v>12.388293734742701</v>
      </c>
      <c r="G25" s="215">
        <f t="shared" si="2"/>
        <v>11.738993149996325</v>
      </c>
      <c r="H25" s="215">
        <f t="shared" si="2"/>
        <v>11.107241229702556</v>
      </c>
      <c r="I25" s="215">
        <f t="shared" si="2"/>
        <v>10.492317694461047</v>
      </c>
    </row>
    <row r="26" spans="2:29" x14ac:dyDescent="0.25">
      <c r="B26" s="212" t="s">
        <v>685</v>
      </c>
      <c r="C26" s="215">
        <f t="shared" ref="C26:I26" si="3">IF(SUM(C24:C25)&gt;0,SUM(C24:C25),0)</f>
        <v>41.372428000152098</v>
      </c>
      <c r="D26" s="215">
        <f t="shared" si="3"/>
        <v>37.820831433682841</v>
      </c>
      <c r="E26" s="215">
        <f t="shared" si="3"/>
        <v>35.296078002922783</v>
      </c>
      <c r="F26" s="215">
        <f t="shared" si="3"/>
        <v>32.531998530351366</v>
      </c>
      <c r="G26" s="215">
        <f t="shared" si="3"/>
        <v>29.494637105659486</v>
      </c>
      <c r="H26" s="215">
        <f t="shared" si="3"/>
        <v>27.231989327801806</v>
      </c>
      <c r="I26" s="215">
        <f t="shared" si="3"/>
        <v>24.936835126961537</v>
      </c>
    </row>
    <row r="27" spans="2:29" x14ac:dyDescent="0.25">
      <c r="D27" s="209">
        <f>D39</f>
        <v>18.418047478044336</v>
      </c>
      <c r="E27" s="209">
        <f>I39</f>
        <v>16.001841268201602</v>
      </c>
      <c r="F27" s="209">
        <f>N39</f>
        <v>12.812571795425558</v>
      </c>
      <c r="G27" s="209">
        <f>S39</f>
        <v>8.4375343218378731</v>
      </c>
      <c r="H27" s="209">
        <f>X39</f>
        <v>4.43968854388784</v>
      </c>
      <c r="I27" s="209">
        <f>AC39</f>
        <v>0</v>
      </c>
    </row>
    <row r="29" spans="2:29" x14ac:dyDescent="0.25">
      <c r="B29" s="216" t="s">
        <v>669</v>
      </c>
      <c r="C29" s="213">
        <v>2024</v>
      </c>
      <c r="D29" s="213">
        <v>2025</v>
      </c>
      <c r="E29" s="213">
        <v>2026</v>
      </c>
      <c r="F29" s="213">
        <v>2027</v>
      </c>
      <c r="G29" s="213">
        <v>2028</v>
      </c>
      <c r="H29" s="213">
        <v>2029</v>
      </c>
      <c r="I29" s="213">
        <v>2030</v>
      </c>
      <c r="J29" s="213">
        <v>2031</v>
      </c>
      <c r="K29" s="213">
        <v>2032</v>
      </c>
      <c r="L29" s="213">
        <v>2033</v>
      </c>
      <c r="M29" s="213">
        <v>2034</v>
      </c>
      <c r="N29" s="213">
        <v>2035</v>
      </c>
      <c r="O29" s="213">
        <v>2036</v>
      </c>
      <c r="P29" s="213">
        <v>2037</v>
      </c>
      <c r="Q29" s="213">
        <v>2038</v>
      </c>
      <c r="R29" s="213">
        <v>2039</v>
      </c>
      <c r="S29" s="213">
        <v>2040</v>
      </c>
      <c r="T29" s="213">
        <v>2041</v>
      </c>
      <c r="U29" s="213">
        <v>2042</v>
      </c>
      <c r="V29" s="213">
        <v>2043</v>
      </c>
      <c r="W29" s="213">
        <v>2044</v>
      </c>
      <c r="X29" s="213">
        <v>2045</v>
      </c>
      <c r="Y29" s="213">
        <v>2046</v>
      </c>
      <c r="Z29" s="213">
        <v>2047</v>
      </c>
      <c r="AA29" s="213">
        <v>2048</v>
      </c>
      <c r="AB29" s="213">
        <v>2049</v>
      </c>
      <c r="AC29" s="213">
        <v>2050</v>
      </c>
    </row>
    <row r="30" spans="2:29" x14ac:dyDescent="0.25">
      <c r="B30" s="212" t="s">
        <v>663</v>
      </c>
      <c r="C30" s="215">
        <f>D30+($D30-$I30)/5</f>
        <v>24.606289022705052</v>
      </c>
      <c r="D30" s="241">
        <f>HLOOKUP(D$29,$D$23:$I$26,2,FALSE)</f>
        <v>24.180854334043204</v>
      </c>
      <c r="E30" s="215">
        <f t="shared" ref="E30:H31" si="4">D30-($D30-$I30)/5</f>
        <v>23.755419645381355</v>
      </c>
      <c r="F30" s="215">
        <f t="shared" si="4"/>
        <v>23.329984956719507</v>
      </c>
      <c r="G30" s="215">
        <f t="shared" si="4"/>
        <v>22.904550268057658</v>
      </c>
      <c r="H30" s="215">
        <f t="shared" si="4"/>
        <v>22.47911557939581</v>
      </c>
      <c r="I30" s="241">
        <f>HLOOKUP(I$29,$D$23:$I$26,2,FALSE)</f>
        <v>22.053680890733965</v>
      </c>
      <c r="J30" s="215">
        <f t="shared" ref="J30:M31" si="5">I30-($I30-$N30)/5</f>
        <v>21.671685671708904</v>
      </c>
      <c r="K30" s="215">
        <f t="shared" si="5"/>
        <v>21.289690452683843</v>
      </c>
      <c r="L30" s="215">
        <f t="shared" si="5"/>
        <v>20.907695233658782</v>
      </c>
      <c r="M30" s="215">
        <f t="shared" si="5"/>
        <v>20.525700014633721</v>
      </c>
      <c r="N30" s="215">
        <f>HLOOKUP(N$29,$D$23:$I$26,2,FALSE)</f>
        <v>20.143704795608663</v>
      </c>
      <c r="O30" s="215">
        <f t="shared" ref="O30:R31" si="6">N30-($N30-$S30)/5</f>
        <v>19.666092627619562</v>
      </c>
      <c r="P30" s="215">
        <f t="shared" si="6"/>
        <v>19.188480459630462</v>
      </c>
      <c r="Q30" s="215">
        <f t="shared" si="6"/>
        <v>18.710868291641361</v>
      </c>
      <c r="R30" s="215">
        <f t="shared" si="6"/>
        <v>18.233256123652261</v>
      </c>
      <c r="S30" s="215">
        <f>HLOOKUP(S$29,$D$23:$I$26,2,FALSE)</f>
        <v>17.75564395566316</v>
      </c>
      <c r="T30" s="215">
        <f t="shared" ref="T30:W31" si="7">S30-($S30-$X30)/5</f>
        <v>17.42946478415038</v>
      </c>
      <c r="U30" s="215">
        <f t="shared" si="7"/>
        <v>17.103285612637599</v>
      </c>
      <c r="V30" s="215">
        <f t="shared" si="7"/>
        <v>16.777106441124818</v>
      </c>
      <c r="W30" s="215">
        <f t="shared" si="7"/>
        <v>16.450927269612038</v>
      </c>
      <c r="X30" s="215">
        <f>HLOOKUP(X$29,$D$23:$I$26,2,FALSE)</f>
        <v>16.12474809809925</v>
      </c>
      <c r="Y30" s="215">
        <f t="shared" ref="Y30:AB31" si="8">X30-($X30-$AC30)/5</f>
        <v>15.788701964979499</v>
      </c>
      <c r="Z30" s="215">
        <f t="shared" si="8"/>
        <v>15.452655831859747</v>
      </c>
      <c r="AA30" s="215">
        <f t="shared" si="8"/>
        <v>15.116609698739996</v>
      </c>
      <c r="AB30" s="215">
        <f t="shared" si="8"/>
        <v>14.780563565620245</v>
      </c>
      <c r="AC30" s="215">
        <f>HLOOKUP(AC$29,$D$23:$I$26,2,FALSE)</f>
        <v>14.44451743250049</v>
      </c>
    </row>
    <row r="31" spans="2:29" x14ac:dyDescent="0.25">
      <c r="B31" s="212" t="s">
        <v>664</v>
      </c>
      <c r="C31" s="215">
        <f>D31+($D31-$I31)/5</f>
        <v>13.719493097129805</v>
      </c>
      <c r="D31" s="241">
        <f>HLOOKUP(D$29,$D$23:$I$26,3,FALSE)</f>
        <v>13.639977099639641</v>
      </c>
      <c r="E31" s="215">
        <f t="shared" si="4"/>
        <v>13.560461102149477</v>
      </c>
      <c r="F31" s="215">
        <f t="shared" si="4"/>
        <v>13.480945104659313</v>
      </c>
      <c r="G31" s="215">
        <f t="shared" si="4"/>
        <v>13.401429107169148</v>
      </c>
      <c r="H31" s="215">
        <f t="shared" si="4"/>
        <v>13.321913109678984</v>
      </c>
      <c r="I31" s="241">
        <f>HLOOKUP(I$29,$D$23:$I$26,3,FALSE)</f>
        <v>13.242397112188817</v>
      </c>
      <c r="J31" s="215">
        <f t="shared" si="5"/>
        <v>13.071576436699594</v>
      </c>
      <c r="K31" s="215">
        <f t="shared" si="5"/>
        <v>12.900755761210371</v>
      </c>
      <c r="L31" s="215">
        <f t="shared" si="5"/>
        <v>12.729935085721149</v>
      </c>
      <c r="M31" s="215">
        <f t="shared" si="5"/>
        <v>12.559114410231926</v>
      </c>
      <c r="N31" s="215">
        <f>HLOOKUP(N$29,$D$23:$I$26,3,FALSE)</f>
        <v>12.388293734742701</v>
      </c>
      <c r="O31" s="215">
        <f t="shared" si="6"/>
        <v>12.258433617793425</v>
      </c>
      <c r="P31" s="215">
        <f t="shared" si="6"/>
        <v>12.12857350084415</v>
      </c>
      <c r="Q31" s="215">
        <f t="shared" si="6"/>
        <v>11.998713383894874</v>
      </c>
      <c r="R31" s="215">
        <f t="shared" si="6"/>
        <v>11.868853266945598</v>
      </c>
      <c r="S31" s="215">
        <f>HLOOKUP(S$29,$D$23:$I$26,3,FALSE)</f>
        <v>11.738993149996325</v>
      </c>
      <c r="T31" s="215">
        <f t="shared" si="7"/>
        <v>11.612642765937572</v>
      </c>
      <c r="U31" s="215">
        <f t="shared" si="7"/>
        <v>11.486292381878819</v>
      </c>
      <c r="V31" s="215">
        <f t="shared" si="7"/>
        <v>11.359941997820066</v>
      </c>
      <c r="W31" s="215">
        <f t="shared" si="7"/>
        <v>11.233591613761313</v>
      </c>
      <c r="X31" s="215">
        <f>HLOOKUP(X$29,$D$23:$I$26,3,FALSE)</f>
        <v>11.107241229702556</v>
      </c>
      <c r="Y31" s="215">
        <f t="shared" si="8"/>
        <v>10.984256522654254</v>
      </c>
      <c r="Z31" s="215">
        <f t="shared" si="8"/>
        <v>10.861271815605953</v>
      </c>
      <c r="AA31" s="215">
        <f t="shared" si="8"/>
        <v>10.738287108557651</v>
      </c>
      <c r="AB31" s="215">
        <f t="shared" si="8"/>
        <v>10.61530240150935</v>
      </c>
      <c r="AC31" s="215">
        <f>HLOOKUP(AC$29,$D$23:$I$26,3,FALSE)</f>
        <v>10.492317694461047</v>
      </c>
    </row>
    <row r="32" spans="2:29" x14ac:dyDescent="0.25">
      <c r="B32" s="212" t="str">
        <f>B26</f>
        <v>Green H2 without Max. PTC</v>
      </c>
      <c r="C32" s="215">
        <f t="shared" ref="C32:AC32" si="9">IF(SUM(C30:C31)&lt;0,0,SUM(C30:C31))</f>
        <v>38.325782119834855</v>
      </c>
      <c r="D32" s="241">
        <f t="shared" si="9"/>
        <v>37.820831433682841</v>
      </c>
      <c r="E32" s="215">
        <f t="shared" si="9"/>
        <v>37.315880747530834</v>
      </c>
      <c r="F32" s="215">
        <f t="shared" si="9"/>
        <v>36.810930061378819</v>
      </c>
      <c r="G32" s="215">
        <f t="shared" si="9"/>
        <v>36.305979375226805</v>
      </c>
      <c r="H32" s="215">
        <f t="shared" si="9"/>
        <v>35.801028689074798</v>
      </c>
      <c r="I32" s="241">
        <f t="shared" si="9"/>
        <v>35.296078002922783</v>
      </c>
      <c r="J32" s="215">
        <f t="shared" si="9"/>
        <v>34.743262108408501</v>
      </c>
      <c r="K32" s="215">
        <f t="shared" si="9"/>
        <v>34.190446213894212</v>
      </c>
      <c r="L32" s="215">
        <f t="shared" si="9"/>
        <v>33.63763031937993</v>
      </c>
      <c r="M32" s="215">
        <f t="shared" si="9"/>
        <v>33.084814424865648</v>
      </c>
      <c r="N32" s="215">
        <f t="shared" si="9"/>
        <v>32.531998530351366</v>
      </c>
      <c r="O32" s="215">
        <f t="shared" si="9"/>
        <v>31.924526245412988</v>
      </c>
      <c r="P32" s="215">
        <f t="shared" si="9"/>
        <v>31.31705396047461</v>
      </c>
      <c r="Q32" s="215">
        <f t="shared" si="9"/>
        <v>30.709581675536235</v>
      </c>
      <c r="R32" s="215">
        <f t="shared" si="9"/>
        <v>30.10210939059786</v>
      </c>
      <c r="S32" s="215">
        <f t="shared" si="9"/>
        <v>29.494637105659486</v>
      </c>
      <c r="T32" s="215">
        <f t="shared" si="9"/>
        <v>29.042107550087952</v>
      </c>
      <c r="U32" s="215">
        <f t="shared" si="9"/>
        <v>28.589577994516418</v>
      </c>
      <c r="V32" s="215">
        <f t="shared" si="9"/>
        <v>28.137048438944884</v>
      </c>
      <c r="W32" s="215">
        <f t="shared" si="9"/>
        <v>27.68451888337335</v>
      </c>
      <c r="X32" s="215">
        <f t="shared" si="9"/>
        <v>27.231989327801806</v>
      </c>
      <c r="Y32" s="215">
        <f t="shared" si="9"/>
        <v>26.772958487633751</v>
      </c>
      <c r="Z32" s="215">
        <f t="shared" si="9"/>
        <v>26.3139276474657</v>
      </c>
      <c r="AA32" s="215">
        <f t="shared" si="9"/>
        <v>25.854896807297649</v>
      </c>
      <c r="AB32" s="215">
        <f t="shared" si="9"/>
        <v>25.395865967129595</v>
      </c>
      <c r="AC32" s="215">
        <f t="shared" si="9"/>
        <v>24.936835126961537</v>
      </c>
    </row>
    <row r="33" spans="1:29" ht="16" thickBot="1" x14ac:dyDescent="0.3">
      <c r="B33" s="224"/>
      <c r="D33" s="209"/>
      <c r="E33" s="209"/>
    </row>
    <row r="34" spans="1:29" x14ac:dyDescent="0.25">
      <c r="B34" s="231" t="s">
        <v>669</v>
      </c>
      <c r="C34" s="232">
        <v>2024</v>
      </c>
      <c r="D34" s="232">
        <v>2025</v>
      </c>
      <c r="E34" s="232">
        <v>2026</v>
      </c>
      <c r="F34" s="232">
        <v>2027</v>
      </c>
      <c r="G34" s="232">
        <v>2028</v>
      </c>
      <c r="H34" s="232">
        <v>2029</v>
      </c>
      <c r="I34" s="232">
        <v>2030</v>
      </c>
      <c r="J34" s="232">
        <v>2031</v>
      </c>
      <c r="K34" s="232">
        <v>2032</v>
      </c>
      <c r="L34" s="232">
        <v>2033</v>
      </c>
      <c r="M34" s="232">
        <v>2034</v>
      </c>
      <c r="N34" s="232">
        <v>2035</v>
      </c>
      <c r="O34" s="232">
        <v>2036</v>
      </c>
      <c r="P34" s="232">
        <v>2037</v>
      </c>
      <c r="Q34" s="232">
        <v>2038</v>
      </c>
      <c r="R34" s="232">
        <v>2039</v>
      </c>
      <c r="S34" s="232">
        <v>2040</v>
      </c>
      <c r="T34" s="232">
        <v>2041</v>
      </c>
      <c r="U34" s="232">
        <v>2042</v>
      </c>
      <c r="V34" s="232">
        <v>2043</v>
      </c>
      <c r="W34" s="232">
        <v>2044</v>
      </c>
      <c r="X34" s="232">
        <v>2045</v>
      </c>
      <c r="Y34" s="232">
        <v>2046</v>
      </c>
      <c r="Z34" s="232">
        <v>2047</v>
      </c>
      <c r="AA34" s="232">
        <v>2048</v>
      </c>
      <c r="AB34" s="232">
        <v>2049</v>
      </c>
      <c r="AC34" s="233">
        <v>2050</v>
      </c>
    </row>
    <row r="35" spans="1:29" x14ac:dyDescent="0.25">
      <c r="B35" s="234" t="s">
        <v>663</v>
      </c>
      <c r="C35" s="215">
        <f t="shared" ref="C35:AC35" si="10">C30*(1+$C$51)^(C29-2022)</f>
        <v>25.851982404479493</v>
      </c>
      <c r="D35" s="215">
        <f t="shared" si="10"/>
        <v>26.040135336821741</v>
      </c>
      <c r="E35" s="215">
        <f t="shared" si="10"/>
        <v>26.221538426778302</v>
      </c>
      <c r="F35" s="215">
        <f t="shared" si="10"/>
        <v>26.395736586647175</v>
      </c>
      <c r="G35" s="240">
        <f t="shared" si="10"/>
        <v>26.562256192992756</v>
      </c>
      <c r="H35" s="215">
        <f t="shared" si="10"/>
        <v>26.720604444288966</v>
      </c>
      <c r="I35" s="215">
        <f t="shared" si="10"/>
        <v>26.870268698029367</v>
      </c>
      <c r="J35" s="215">
        <f t="shared" si="10"/>
        <v>27.06496573174265</v>
      </c>
      <c r="K35" s="215">
        <f t="shared" si="10"/>
        <v>27.252603699205331</v>
      </c>
      <c r="L35" s="215">
        <f t="shared" si="10"/>
        <v>27.43270796145881</v>
      </c>
      <c r="M35" s="215">
        <f t="shared" si="10"/>
        <v>27.604784559512957</v>
      </c>
      <c r="N35" s="215">
        <f t="shared" si="10"/>
        <v>27.768319544993904</v>
      </c>
      <c r="O35" s="215">
        <f t="shared" si="10"/>
        <v>27.787674043671625</v>
      </c>
      <c r="P35" s="215">
        <f t="shared" si="10"/>
        <v>27.79064106756762</v>
      </c>
      <c r="Q35" s="215">
        <f t="shared" si="10"/>
        <v>27.77638914638111</v>
      </c>
      <c r="R35" s="215">
        <f t="shared" si="10"/>
        <v>27.744055478468045</v>
      </c>
      <c r="S35" s="215">
        <f t="shared" si="10"/>
        <v>27.692744883942844</v>
      </c>
      <c r="T35" s="215">
        <f t="shared" si="10"/>
        <v>27.863617112947615</v>
      </c>
      <c r="U35" s="215">
        <f t="shared" si="10"/>
        <v>28.025724987850161</v>
      </c>
      <c r="V35" s="215">
        <f t="shared" si="10"/>
        <v>28.178523495802239</v>
      </c>
      <c r="W35" s="215">
        <f t="shared" si="10"/>
        <v>28.321445851034518</v>
      </c>
      <c r="X35" s="215">
        <f t="shared" si="10"/>
        <v>28.453902746843525</v>
      </c>
      <c r="Y35" s="215">
        <f t="shared" si="10"/>
        <v>28.55743495428403</v>
      </c>
      <c r="Z35" s="215">
        <f t="shared" si="10"/>
        <v>28.648360082879783</v>
      </c>
      <c r="AA35" s="215">
        <f t="shared" si="10"/>
        <v>28.725983071058899</v>
      </c>
      <c r="AB35" s="215">
        <f t="shared" si="10"/>
        <v>28.789581983595173</v>
      </c>
      <c r="AC35" s="235">
        <f t="shared" si="10"/>
        <v>28.838407102338838</v>
      </c>
    </row>
    <row r="36" spans="1:29" x14ac:dyDescent="0.25">
      <c r="B36" s="234" t="s">
        <v>664</v>
      </c>
      <c r="C36" s="215">
        <f t="shared" ref="C36:AC36" si="11">C31*(1+$C$51)</f>
        <v>14.062480424558048</v>
      </c>
      <c r="D36" s="215">
        <f t="shared" si="11"/>
        <v>13.980976527130631</v>
      </c>
      <c r="E36" s="215">
        <f t="shared" si="11"/>
        <v>13.899472629703212</v>
      </c>
      <c r="F36" s="215">
        <f t="shared" si="11"/>
        <v>13.817968732275794</v>
      </c>
      <c r="G36" s="215">
        <f t="shared" si="11"/>
        <v>13.736464834848377</v>
      </c>
      <c r="H36" s="215">
        <f t="shared" si="11"/>
        <v>13.654960937420958</v>
      </c>
      <c r="I36" s="215">
        <f t="shared" si="11"/>
        <v>13.573457039993537</v>
      </c>
      <c r="J36" s="215">
        <f t="shared" si="11"/>
        <v>13.398365847617082</v>
      </c>
      <c r="K36" s="215">
        <f t="shared" si="11"/>
        <v>13.22327465524063</v>
      </c>
      <c r="L36" s="215">
        <f t="shared" si="11"/>
        <v>13.048183462864177</v>
      </c>
      <c r="M36" s="215">
        <f t="shared" si="11"/>
        <v>12.873092270487723</v>
      </c>
      <c r="N36" s="215">
        <f t="shared" si="11"/>
        <v>12.698001078111268</v>
      </c>
      <c r="O36" s="215">
        <f t="shared" si="11"/>
        <v>12.56489445823826</v>
      </c>
      <c r="P36" s="215">
        <f t="shared" si="11"/>
        <v>12.431787838365253</v>
      </c>
      <c r="Q36" s="215">
        <f t="shared" si="11"/>
        <v>12.298681218492245</v>
      </c>
      <c r="R36" s="215">
        <f t="shared" si="11"/>
        <v>12.165574598619237</v>
      </c>
      <c r="S36" s="215">
        <f t="shared" si="11"/>
        <v>12.032467978746233</v>
      </c>
      <c r="T36" s="215">
        <f t="shared" si="11"/>
        <v>11.902958835086011</v>
      </c>
      <c r="U36" s="215">
        <f t="shared" si="11"/>
        <v>11.773449691425789</v>
      </c>
      <c r="V36" s="215">
        <f t="shared" si="11"/>
        <v>11.643940547765567</v>
      </c>
      <c r="W36" s="215">
        <f t="shared" si="11"/>
        <v>11.514431404105345</v>
      </c>
      <c r="X36" s="215">
        <f t="shared" si="11"/>
        <v>11.384922260445119</v>
      </c>
      <c r="Y36" s="215">
        <f t="shared" si="11"/>
        <v>11.258862935720609</v>
      </c>
      <c r="Z36" s="215">
        <f t="shared" si="11"/>
        <v>11.132803610996101</v>
      </c>
      <c r="AA36" s="215">
        <f t="shared" si="11"/>
        <v>11.006744286271593</v>
      </c>
      <c r="AB36" s="215">
        <f t="shared" si="11"/>
        <v>10.880684961547082</v>
      </c>
      <c r="AC36" s="235">
        <f t="shared" si="11"/>
        <v>10.754625636822572</v>
      </c>
    </row>
    <row r="37" spans="1:29" x14ac:dyDescent="0.25">
      <c r="B37" s="238" t="s">
        <v>704</v>
      </c>
      <c r="C37" s="239">
        <f>SUM(C35:C36)</f>
        <v>39.914462829037539</v>
      </c>
      <c r="D37" s="239">
        <f t="shared" ref="D37:AC37" si="12">SUM(D35:D36)</f>
        <v>40.02111186395237</v>
      </c>
      <c r="E37" s="239">
        <f t="shared" si="12"/>
        <v>40.121011056481514</v>
      </c>
      <c r="F37" s="239">
        <f t="shared" si="12"/>
        <v>40.213705318922969</v>
      </c>
      <c r="G37" s="239">
        <f t="shared" si="12"/>
        <v>40.298721027841133</v>
      </c>
      <c r="H37" s="239">
        <f t="shared" si="12"/>
        <v>40.375565381709926</v>
      </c>
      <c r="I37" s="239">
        <f t="shared" si="12"/>
        <v>40.443725738022906</v>
      </c>
      <c r="J37" s="239">
        <f t="shared" si="12"/>
        <v>40.463331579359732</v>
      </c>
      <c r="K37" s="239">
        <f t="shared" si="12"/>
        <v>40.47587835444596</v>
      </c>
      <c r="L37" s="239">
        <f t="shared" si="12"/>
        <v>40.480891424322991</v>
      </c>
      <c r="M37" s="239">
        <f t="shared" si="12"/>
        <v>40.477876830000682</v>
      </c>
      <c r="N37" s="239">
        <f t="shared" si="12"/>
        <v>40.466320623105176</v>
      </c>
      <c r="O37" s="239">
        <f t="shared" si="12"/>
        <v>40.352568501909886</v>
      </c>
      <c r="P37" s="239">
        <f t="shared" si="12"/>
        <v>40.222428905932873</v>
      </c>
      <c r="Q37" s="239">
        <f t="shared" si="12"/>
        <v>40.075070364873355</v>
      </c>
      <c r="R37" s="239">
        <f t="shared" si="12"/>
        <v>39.909630077087286</v>
      </c>
      <c r="S37" s="239">
        <f t="shared" si="12"/>
        <v>39.725212862689077</v>
      </c>
      <c r="T37" s="239">
        <f t="shared" si="12"/>
        <v>39.766575948033626</v>
      </c>
      <c r="U37" s="239">
        <f t="shared" si="12"/>
        <v>39.79917467927595</v>
      </c>
      <c r="V37" s="239">
        <f t="shared" si="12"/>
        <v>39.822464043567805</v>
      </c>
      <c r="W37" s="239">
        <f t="shared" si="12"/>
        <v>39.835877255139863</v>
      </c>
      <c r="X37" s="239">
        <f t="shared" si="12"/>
        <v>39.838825007288648</v>
      </c>
      <c r="Y37" s="239">
        <f t="shared" si="12"/>
        <v>39.816297890004641</v>
      </c>
      <c r="Z37" s="239">
        <f t="shared" si="12"/>
        <v>39.781163693875882</v>
      </c>
      <c r="AA37" s="239">
        <f t="shared" si="12"/>
        <v>39.732727357330489</v>
      </c>
      <c r="AB37" s="239">
        <f t="shared" si="12"/>
        <v>39.670266945142259</v>
      </c>
      <c r="AC37" s="239">
        <f t="shared" si="12"/>
        <v>39.593032739161409</v>
      </c>
    </row>
    <row r="38" spans="1:29" ht="20.25" customHeight="1" x14ac:dyDescent="0.25">
      <c r="B38" s="234" t="s">
        <v>702</v>
      </c>
      <c r="C38" s="215">
        <f t="shared" ref="C38:AC38" si="13">-C60</f>
        <v>-21.076160376495647</v>
      </c>
      <c r="D38" s="215">
        <f t="shared" si="13"/>
        <v>-21.603064385908034</v>
      </c>
      <c r="E38" s="215">
        <f t="shared" si="13"/>
        <v>-22.143140995555729</v>
      </c>
      <c r="F38" s="215">
        <f t="shared" si="13"/>
        <v>-22.696719520444624</v>
      </c>
      <c r="G38" s="215">
        <f t="shared" si="13"/>
        <v>-23.264137508455732</v>
      </c>
      <c r="H38" s="215">
        <f t="shared" si="13"/>
        <v>-23.845740946167126</v>
      </c>
      <c r="I38" s="215">
        <f t="shared" si="13"/>
        <v>-24.441884469821304</v>
      </c>
      <c r="J38" s="215">
        <f t="shared" si="13"/>
        <v>-25.052931581566828</v>
      </c>
      <c r="K38" s="215">
        <f t="shared" si="13"/>
        <v>-25.679254871106</v>
      </c>
      <c r="L38" s="215">
        <f t="shared" si="13"/>
        <v>-26.321236242883646</v>
      </c>
      <c r="M38" s="215">
        <f t="shared" si="13"/>
        <v>-26.979267148955735</v>
      </c>
      <c r="N38" s="215">
        <f t="shared" si="13"/>
        <v>-27.653748827679618</v>
      </c>
      <c r="O38" s="215">
        <f t="shared" si="13"/>
        <v>-28.345092548371614</v>
      </c>
      <c r="P38" s="215">
        <f t="shared" si="13"/>
        <v>-29.053719862080897</v>
      </c>
      <c r="Q38" s="215">
        <f t="shared" si="13"/>
        <v>-29.78006285863292</v>
      </c>
      <c r="R38" s="215">
        <f t="shared" si="13"/>
        <v>-30.524564430098739</v>
      </c>
      <c r="S38" s="215">
        <f t="shared" si="13"/>
        <v>-31.287678540851203</v>
      </c>
      <c r="T38" s="215">
        <f t="shared" si="13"/>
        <v>-32.069870504372489</v>
      </c>
      <c r="U38" s="215">
        <f t="shared" si="13"/>
        <v>-32.871617266981787</v>
      </c>
      <c r="V38" s="215">
        <f t="shared" si="13"/>
        <v>-33.693407698656344</v>
      </c>
      <c r="W38" s="215">
        <f t="shared" si="13"/>
        <v>-34.535742891122744</v>
      </c>
      <c r="X38" s="215">
        <f t="shared" si="13"/>
        <v>-35.399136463400808</v>
      </c>
      <c r="Y38" s="215">
        <f t="shared" si="13"/>
        <v>-36.284114874985825</v>
      </c>
      <c r="Z38" s="215">
        <f t="shared" si="13"/>
        <v>-37.191217746860467</v>
      </c>
      <c r="AA38" s="215">
        <f t="shared" si="13"/>
        <v>-38.120998190531971</v>
      </c>
      <c r="AB38" s="215">
        <f t="shared" si="13"/>
        <v>-39.074023145295278</v>
      </c>
      <c r="AC38" s="215">
        <f t="shared" si="13"/>
        <v>-40.050873723927644</v>
      </c>
    </row>
    <row r="39" spans="1:29" ht="16" thickBot="1" x14ac:dyDescent="0.3">
      <c r="B39" s="236" t="s">
        <v>703</v>
      </c>
      <c r="C39" s="237">
        <f>IF(SUM(C37:C38)&gt;0,SUM(C37:C38),0)</f>
        <v>18.838302452541893</v>
      </c>
      <c r="D39" s="237">
        <f t="shared" ref="D39:AC39" si="14">IF(SUM(D37:D38)&gt;0,SUM(D37:D38),0)</f>
        <v>18.418047478044336</v>
      </c>
      <c r="E39" s="237">
        <f t="shared" si="14"/>
        <v>17.977870060925785</v>
      </c>
      <c r="F39" s="237">
        <f t="shared" si="14"/>
        <v>17.516985798478345</v>
      </c>
      <c r="G39" s="237">
        <f t="shared" si="14"/>
        <v>17.0345835193854</v>
      </c>
      <c r="H39" s="237">
        <f t="shared" si="14"/>
        <v>16.5298244355428</v>
      </c>
      <c r="I39" s="237">
        <f t="shared" si="14"/>
        <v>16.001841268201602</v>
      </c>
      <c r="J39" s="237">
        <f t="shared" si="14"/>
        <v>15.410399997792904</v>
      </c>
      <c r="K39" s="237">
        <f t="shared" si="14"/>
        <v>14.79662348333996</v>
      </c>
      <c r="L39" s="237">
        <f t="shared" si="14"/>
        <v>14.159655181439344</v>
      </c>
      <c r="M39" s="237">
        <f t="shared" si="14"/>
        <v>13.498609681044947</v>
      </c>
      <c r="N39" s="237">
        <f t="shared" si="14"/>
        <v>12.812571795425558</v>
      </c>
      <c r="O39" s="237">
        <f t="shared" si="14"/>
        <v>12.007475953538272</v>
      </c>
      <c r="P39" s="237">
        <f t="shared" si="14"/>
        <v>11.168709043851976</v>
      </c>
      <c r="Q39" s="237">
        <f t="shared" si="14"/>
        <v>10.295007506240434</v>
      </c>
      <c r="R39" s="237">
        <f t="shared" si="14"/>
        <v>9.3850656469885472</v>
      </c>
      <c r="S39" s="237">
        <f t="shared" si="14"/>
        <v>8.4375343218378731</v>
      </c>
      <c r="T39" s="237">
        <f t="shared" si="14"/>
        <v>7.6967054436611377</v>
      </c>
      <c r="U39" s="237">
        <f t="shared" si="14"/>
        <v>6.9275574122941634</v>
      </c>
      <c r="V39" s="237">
        <f t="shared" si="14"/>
        <v>6.1290563449114615</v>
      </c>
      <c r="W39" s="237">
        <f t="shared" si="14"/>
        <v>5.3001343640171186</v>
      </c>
      <c r="X39" s="237">
        <f t="shared" si="14"/>
        <v>4.43968854388784</v>
      </c>
      <c r="Y39" s="237">
        <f t="shared" si="14"/>
        <v>3.5321830150188163</v>
      </c>
      <c r="Z39" s="237">
        <f t="shared" si="14"/>
        <v>2.5899459470154156</v>
      </c>
      <c r="AA39" s="237">
        <f t="shared" si="14"/>
        <v>1.6117291667985185</v>
      </c>
      <c r="AB39" s="237">
        <f t="shared" si="14"/>
        <v>0.59624379984698095</v>
      </c>
      <c r="AC39" s="237">
        <f t="shared" si="14"/>
        <v>0</v>
      </c>
    </row>
    <row r="40" spans="1:29" x14ac:dyDescent="0.25">
      <c r="B40" s="224"/>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row>
    <row r="41" spans="1:29" x14ac:dyDescent="0.25">
      <c r="B41" s="206"/>
    </row>
    <row r="42" spans="1:29" x14ac:dyDescent="0.25">
      <c r="A42" s="246" t="s">
        <v>699</v>
      </c>
      <c r="B42" s="206"/>
      <c r="C42" s="250" t="s">
        <v>665</v>
      </c>
    </row>
    <row r="43" spans="1:29" x14ac:dyDescent="0.25">
      <c r="A43" s="206" t="s">
        <v>701</v>
      </c>
      <c r="B43" s="206"/>
      <c r="C43" s="230" t="s">
        <v>666</v>
      </c>
    </row>
    <row r="44" spans="1:29" x14ac:dyDescent="0.25">
      <c r="C44" s="206">
        <v>0.94781700000000002</v>
      </c>
      <c r="D44" s="206" t="s">
        <v>680</v>
      </c>
    </row>
    <row r="45" spans="1:29" x14ac:dyDescent="0.25">
      <c r="C45" s="226">
        <v>3</v>
      </c>
      <c r="D45" s="206" t="s">
        <v>674</v>
      </c>
    </row>
    <row r="46" spans="1:29" x14ac:dyDescent="0.25">
      <c r="C46" s="206">
        <v>0.13450000000000001</v>
      </c>
      <c r="D46" s="206" t="s">
        <v>670</v>
      </c>
      <c r="G46" s="244"/>
    </row>
    <row r="47" spans="1:29" x14ac:dyDescent="0.25">
      <c r="C47" s="221">
        <f>C45/C46</f>
        <v>22.304832713754646</v>
      </c>
      <c r="D47" s="206" t="s">
        <v>671</v>
      </c>
    </row>
    <row r="48" spans="1:29" x14ac:dyDescent="0.25">
      <c r="C48" s="228">
        <v>0.21</v>
      </c>
      <c r="D48" s="206" t="s">
        <v>672</v>
      </c>
      <c r="G48" s="219"/>
    </row>
    <row r="49" spans="1:39" x14ac:dyDescent="0.25">
      <c r="C49" s="220">
        <f>C47/(1-C48)</f>
        <v>28.233965460448918</v>
      </c>
      <c r="D49" s="206" t="s">
        <v>681</v>
      </c>
    </row>
    <row r="50" spans="1:39" x14ac:dyDescent="0.25">
      <c r="C50" s="206">
        <v>10</v>
      </c>
      <c r="D50" s="206" t="s">
        <v>673</v>
      </c>
    </row>
    <row r="51" spans="1:39" ht="16" thickBot="1" x14ac:dyDescent="0.3">
      <c r="C51" s="227">
        <v>2.5000000000000001E-2</v>
      </c>
      <c r="D51" s="206" t="s">
        <v>675</v>
      </c>
    </row>
    <row r="52" spans="1:39" ht="16" thickBot="1" x14ac:dyDescent="0.3">
      <c r="C52" s="225">
        <f>C49*(1+C51)</f>
        <v>28.939814596960137</v>
      </c>
      <c r="D52" s="206" t="s">
        <v>682</v>
      </c>
    </row>
    <row r="53" spans="1:39" x14ac:dyDescent="0.25">
      <c r="B53" s="206"/>
      <c r="C53" s="227">
        <v>6.8000000000000005E-2</v>
      </c>
      <c r="D53" s="222" t="s">
        <v>676</v>
      </c>
    </row>
    <row r="54" spans="1:39" x14ac:dyDescent="0.25">
      <c r="B54" s="206"/>
      <c r="C54" s="219">
        <f>NPV($C$53,C59:L59)</f>
        <v>226.79443968520732</v>
      </c>
      <c r="D54" s="222" t="s">
        <v>677</v>
      </c>
    </row>
    <row r="55" spans="1:39" x14ac:dyDescent="0.25">
      <c r="B55" s="206"/>
      <c r="C55" s="229">
        <f>20</f>
        <v>20</v>
      </c>
      <c r="D55" s="222" t="s">
        <v>678</v>
      </c>
    </row>
    <row r="56" spans="1:39" x14ac:dyDescent="0.25">
      <c r="B56" s="206"/>
      <c r="C56" s="219">
        <f>PMT($C$53,$C$55,-$C$54)</f>
        <v>21.076160376495647</v>
      </c>
      <c r="D56" s="222" t="s">
        <v>679</v>
      </c>
    </row>
    <row r="57" spans="1:39" x14ac:dyDescent="0.25">
      <c r="B57" s="206"/>
      <c r="C57" s="219"/>
      <c r="D57" s="222"/>
    </row>
    <row r="58" spans="1:39" x14ac:dyDescent="0.25">
      <c r="B58" s="206"/>
      <c r="C58" s="247">
        <v>2024</v>
      </c>
      <c r="D58" s="247">
        <v>2025</v>
      </c>
      <c r="E58" s="247">
        <v>2026</v>
      </c>
      <c r="F58" s="247">
        <v>2027</v>
      </c>
      <c r="G58" s="247">
        <v>2028</v>
      </c>
      <c r="H58" s="247">
        <v>2029</v>
      </c>
      <c r="I58" s="247">
        <v>2030</v>
      </c>
      <c r="J58" s="247">
        <v>2031</v>
      </c>
      <c r="K58" s="247">
        <v>2032</v>
      </c>
      <c r="L58" s="247">
        <v>2033</v>
      </c>
      <c r="M58" s="247">
        <v>2034</v>
      </c>
      <c r="N58" s="247">
        <v>2035</v>
      </c>
      <c r="O58" s="247">
        <v>2036</v>
      </c>
      <c r="P58" s="247">
        <v>2037</v>
      </c>
      <c r="Q58" s="247">
        <v>2038</v>
      </c>
      <c r="R58" s="247">
        <v>2039</v>
      </c>
      <c r="S58" s="247">
        <v>2040</v>
      </c>
      <c r="T58" s="247">
        <v>2041</v>
      </c>
      <c r="U58" s="247">
        <v>2042</v>
      </c>
      <c r="V58" s="247">
        <v>2043</v>
      </c>
      <c r="W58" s="247">
        <v>2044</v>
      </c>
      <c r="X58" s="247">
        <v>2045</v>
      </c>
      <c r="Y58" s="247">
        <v>2046</v>
      </c>
      <c r="Z58" s="247">
        <v>2047</v>
      </c>
      <c r="AA58" s="247">
        <v>2048</v>
      </c>
      <c r="AB58" s="247">
        <v>2049</v>
      </c>
      <c r="AC58" s="247">
        <v>2050</v>
      </c>
      <c r="AD58" s="247">
        <v>2051</v>
      </c>
      <c r="AE58" s="247">
        <v>2052</v>
      </c>
      <c r="AF58" s="247">
        <v>2053</v>
      </c>
      <c r="AG58" s="247">
        <v>2054</v>
      </c>
      <c r="AH58" s="247">
        <v>2055</v>
      </c>
      <c r="AI58" s="247">
        <v>2056</v>
      </c>
      <c r="AJ58" s="247">
        <v>2057</v>
      </c>
      <c r="AK58" s="247">
        <v>2058</v>
      </c>
      <c r="AL58" s="247">
        <v>2059</v>
      </c>
      <c r="AM58" s="247">
        <v>2060</v>
      </c>
    </row>
    <row r="59" spans="1:39" x14ac:dyDescent="0.25">
      <c r="B59" s="211" t="s">
        <v>683</v>
      </c>
      <c r="C59" s="248">
        <f>C52</f>
        <v>28.939814596960137</v>
      </c>
      <c r="D59" s="248">
        <f t="shared" ref="D59:L59" si="15">C59*(1+$C$51)</f>
        <v>29.663309961884138</v>
      </c>
      <c r="E59" s="248">
        <f t="shared" si="15"/>
        <v>30.404892710931239</v>
      </c>
      <c r="F59" s="248">
        <f t="shared" si="15"/>
        <v>31.165015028704516</v>
      </c>
      <c r="G59" s="248">
        <f t="shared" si="15"/>
        <v>31.944140404422125</v>
      </c>
      <c r="H59" s="248">
        <f t="shared" si="15"/>
        <v>32.742743914532674</v>
      </c>
      <c r="I59" s="248">
        <f t="shared" si="15"/>
        <v>33.561312512395986</v>
      </c>
      <c r="J59" s="248">
        <f t="shared" si="15"/>
        <v>34.400345325205883</v>
      </c>
      <c r="K59" s="248">
        <f t="shared" si="15"/>
        <v>35.260353958336026</v>
      </c>
      <c r="L59" s="248">
        <f t="shared" si="15"/>
        <v>36.141862807294423</v>
      </c>
      <c r="M59" s="248">
        <f t="shared" ref="M59:AC59" si="16">L59*(1+$C$51)</f>
        <v>37.04540937747678</v>
      </c>
      <c r="N59" s="248">
        <f t="shared" si="16"/>
        <v>37.971544611913693</v>
      </c>
      <c r="O59" s="248">
        <f t="shared" si="16"/>
        <v>38.920833227211531</v>
      </c>
      <c r="P59" s="248">
        <f t="shared" si="16"/>
        <v>39.893854057891815</v>
      </c>
      <c r="Q59" s="248">
        <f t="shared" si="16"/>
        <v>40.891200409339106</v>
      </c>
      <c r="R59" s="248">
        <f t="shared" si="16"/>
        <v>41.913480419572579</v>
      </c>
      <c r="S59" s="248">
        <f t="shared" si="16"/>
        <v>42.961317430061889</v>
      </c>
      <c r="T59" s="248">
        <f t="shared" si="16"/>
        <v>44.035350365813436</v>
      </c>
      <c r="U59" s="248">
        <f t="shared" si="16"/>
        <v>45.136234124958769</v>
      </c>
      <c r="V59" s="248">
        <f t="shared" si="16"/>
        <v>46.264639978082734</v>
      </c>
      <c r="W59" s="248">
        <f t="shared" si="16"/>
        <v>47.421255977534798</v>
      </c>
      <c r="X59" s="248">
        <f t="shared" si="16"/>
        <v>48.606787376973166</v>
      </c>
      <c r="Y59" s="248">
        <f t="shared" si="16"/>
        <v>49.821957061397491</v>
      </c>
      <c r="Z59" s="248">
        <f t="shared" si="16"/>
        <v>51.067505987932421</v>
      </c>
      <c r="AA59" s="248">
        <f t="shared" si="16"/>
        <v>52.344193637630724</v>
      </c>
      <c r="AB59" s="248">
        <f t="shared" si="16"/>
        <v>53.652798478571491</v>
      </c>
      <c r="AC59" s="248">
        <f t="shared" si="16"/>
        <v>54.994118440535772</v>
      </c>
      <c r="AD59" s="248">
        <f t="shared" ref="AD59:AM59" si="17">AC59*(1+$C$51)</f>
        <v>56.36897140154916</v>
      </c>
      <c r="AE59" s="248">
        <f t="shared" si="17"/>
        <v>57.778195686587885</v>
      </c>
      <c r="AF59" s="248">
        <f t="shared" si="17"/>
        <v>59.222650578752578</v>
      </c>
      <c r="AG59" s="248">
        <f t="shared" si="17"/>
        <v>60.703216843221391</v>
      </c>
      <c r="AH59" s="248">
        <f t="shared" si="17"/>
        <v>62.220797264301922</v>
      </c>
      <c r="AI59" s="248">
        <f t="shared" si="17"/>
        <v>63.776317195909463</v>
      </c>
      <c r="AJ59" s="248">
        <f t="shared" si="17"/>
        <v>65.370725125807198</v>
      </c>
      <c r="AK59" s="248">
        <f t="shared" si="17"/>
        <v>67.004993253952378</v>
      </c>
      <c r="AL59" s="248">
        <f t="shared" si="17"/>
        <v>68.680118085301189</v>
      </c>
      <c r="AM59" s="248">
        <f t="shared" si="17"/>
        <v>70.397121037433706</v>
      </c>
    </row>
    <row r="60" spans="1:39" x14ac:dyDescent="0.25">
      <c r="B60" s="211" t="s">
        <v>684</v>
      </c>
      <c r="C60" s="249">
        <f>PMT($C$53,$C$55,-NPV($C$53,C59:L59))</f>
        <v>21.076160376495647</v>
      </c>
      <c r="D60" s="249">
        <f t="shared" ref="D60:AC60" si="18">PMT($C$53,$C$55,-NPV($C$53,D59:M59))</f>
        <v>21.603064385908034</v>
      </c>
      <c r="E60" s="249">
        <f t="shared" si="18"/>
        <v>22.143140995555729</v>
      </c>
      <c r="F60" s="249">
        <f t="shared" si="18"/>
        <v>22.696719520444624</v>
      </c>
      <c r="G60" s="249">
        <f t="shared" si="18"/>
        <v>23.264137508455732</v>
      </c>
      <c r="H60" s="249">
        <f t="shared" si="18"/>
        <v>23.845740946167126</v>
      </c>
      <c r="I60" s="249">
        <f t="shared" si="18"/>
        <v>24.441884469821304</v>
      </c>
      <c r="J60" s="249">
        <f t="shared" si="18"/>
        <v>25.052931581566828</v>
      </c>
      <c r="K60" s="249">
        <f t="shared" si="18"/>
        <v>25.679254871106</v>
      </c>
      <c r="L60" s="249">
        <f t="shared" si="18"/>
        <v>26.321236242883646</v>
      </c>
      <c r="M60" s="249">
        <f t="shared" si="18"/>
        <v>26.979267148955735</v>
      </c>
      <c r="N60" s="249">
        <f t="shared" si="18"/>
        <v>27.653748827679618</v>
      </c>
      <c r="O60" s="249">
        <f t="shared" si="18"/>
        <v>28.345092548371614</v>
      </c>
      <c r="P60" s="249">
        <f t="shared" si="18"/>
        <v>29.053719862080897</v>
      </c>
      <c r="Q60" s="249">
        <f t="shared" si="18"/>
        <v>29.78006285863292</v>
      </c>
      <c r="R60" s="249">
        <f t="shared" si="18"/>
        <v>30.524564430098739</v>
      </c>
      <c r="S60" s="249">
        <f t="shared" si="18"/>
        <v>31.287678540851203</v>
      </c>
      <c r="T60" s="249">
        <f t="shared" si="18"/>
        <v>32.069870504372489</v>
      </c>
      <c r="U60" s="249">
        <f t="shared" si="18"/>
        <v>32.871617266981787</v>
      </c>
      <c r="V60" s="249">
        <f t="shared" si="18"/>
        <v>33.693407698656344</v>
      </c>
      <c r="W60" s="249">
        <f t="shared" si="18"/>
        <v>34.535742891122744</v>
      </c>
      <c r="X60" s="249">
        <f t="shared" si="18"/>
        <v>35.399136463400808</v>
      </c>
      <c r="Y60" s="249">
        <f t="shared" si="18"/>
        <v>36.284114874985825</v>
      </c>
      <c r="Z60" s="249">
        <f t="shared" si="18"/>
        <v>37.191217746860467</v>
      </c>
      <c r="AA60" s="249">
        <f t="shared" si="18"/>
        <v>38.120998190531971</v>
      </c>
      <c r="AB60" s="249">
        <f t="shared" si="18"/>
        <v>39.074023145295278</v>
      </c>
      <c r="AC60" s="249">
        <f t="shared" si="18"/>
        <v>40.050873723927644</v>
      </c>
      <c r="AD60" s="247"/>
      <c r="AE60" s="247"/>
      <c r="AF60" s="247"/>
      <c r="AG60" s="247"/>
      <c r="AH60" s="247"/>
      <c r="AI60" s="247"/>
      <c r="AJ60" s="247"/>
      <c r="AK60" s="247"/>
      <c r="AL60" s="247"/>
      <c r="AM60" s="247"/>
    </row>
    <row r="61" spans="1:39" x14ac:dyDescent="0.25">
      <c r="B61" s="206"/>
    </row>
    <row r="62" spans="1:39" ht="16" thickBot="1" x14ac:dyDescent="0.3">
      <c r="A62" s="246" t="s">
        <v>698</v>
      </c>
      <c r="B62" s="206"/>
    </row>
    <row r="63" spans="1:39" x14ac:dyDescent="0.25">
      <c r="A63" s="264" t="s">
        <v>717</v>
      </c>
      <c r="B63" s="206"/>
      <c r="C63" s="232">
        <v>2028</v>
      </c>
      <c r="D63" s="232">
        <v>2029</v>
      </c>
      <c r="E63" s="232">
        <v>2030</v>
      </c>
      <c r="F63" s="232">
        <v>2031</v>
      </c>
      <c r="G63" s="232">
        <v>2032</v>
      </c>
      <c r="H63" s="232">
        <v>2033</v>
      </c>
      <c r="I63" s="232">
        <v>2034</v>
      </c>
      <c r="J63" s="232">
        <v>2035</v>
      </c>
      <c r="K63" s="232">
        <v>2036</v>
      </c>
      <c r="L63" s="232">
        <v>2037</v>
      </c>
      <c r="M63" s="232">
        <v>2038</v>
      </c>
      <c r="N63" s="232">
        <v>2039</v>
      </c>
      <c r="O63" s="232">
        <v>2040</v>
      </c>
      <c r="P63" s="232">
        <v>2041</v>
      </c>
      <c r="Q63" s="232">
        <v>2042</v>
      </c>
      <c r="R63" s="232">
        <v>2043</v>
      </c>
      <c r="S63" s="232">
        <v>2044</v>
      </c>
      <c r="T63" s="232">
        <v>2045</v>
      </c>
      <c r="U63" s="232">
        <v>2046</v>
      </c>
      <c r="V63" s="232">
        <v>2047</v>
      </c>
      <c r="W63" s="232">
        <v>2048</v>
      </c>
      <c r="X63" s="232">
        <v>2049</v>
      </c>
      <c r="Y63" s="233">
        <v>2050</v>
      </c>
    </row>
    <row r="64" spans="1:39" x14ac:dyDescent="0.25">
      <c r="B64" s="243" t="s">
        <v>686</v>
      </c>
      <c r="C64" s="252">
        <f>G39</f>
        <v>17.0345835193854</v>
      </c>
      <c r="D64" s="209">
        <f>C64</f>
        <v>17.0345835193854</v>
      </c>
      <c r="E64" s="209">
        <f t="shared" ref="E64:V64" si="19">D64</f>
        <v>17.0345835193854</v>
      </c>
      <c r="F64" s="209">
        <f t="shared" si="19"/>
        <v>17.0345835193854</v>
      </c>
      <c r="G64" s="209">
        <f t="shared" si="19"/>
        <v>17.0345835193854</v>
      </c>
      <c r="H64" s="209">
        <f t="shared" si="19"/>
        <v>17.0345835193854</v>
      </c>
      <c r="I64" s="209">
        <f t="shared" si="19"/>
        <v>17.0345835193854</v>
      </c>
      <c r="J64" s="209">
        <f t="shared" si="19"/>
        <v>17.0345835193854</v>
      </c>
      <c r="K64" s="209">
        <f t="shared" si="19"/>
        <v>17.0345835193854</v>
      </c>
      <c r="L64" s="209">
        <f t="shared" si="19"/>
        <v>17.0345835193854</v>
      </c>
      <c r="M64" s="209">
        <f t="shared" si="19"/>
        <v>17.0345835193854</v>
      </c>
      <c r="N64" s="209">
        <f t="shared" si="19"/>
        <v>17.0345835193854</v>
      </c>
      <c r="O64" s="209">
        <f t="shared" si="19"/>
        <v>17.0345835193854</v>
      </c>
      <c r="P64" s="209">
        <f t="shared" si="19"/>
        <v>17.0345835193854</v>
      </c>
      <c r="Q64" s="209">
        <f t="shared" si="19"/>
        <v>17.0345835193854</v>
      </c>
      <c r="R64" s="209">
        <f t="shared" si="19"/>
        <v>17.0345835193854</v>
      </c>
      <c r="S64" s="209">
        <f t="shared" si="19"/>
        <v>17.0345835193854</v>
      </c>
      <c r="T64" s="209">
        <f t="shared" si="19"/>
        <v>17.0345835193854</v>
      </c>
      <c r="U64" s="209">
        <f t="shared" si="19"/>
        <v>17.0345835193854</v>
      </c>
      <c r="V64" s="209">
        <f t="shared" si="19"/>
        <v>17.0345835193854</v>
      </c>
      <c r="W64" s="209">
        <f>AA39</f>
        <v>1.6117291667985185</v>
      </c>
      <c r="X64" s="209">
        <f>AB39</f>
        <v>0.59624379984698095</v>
      </c>
      <c r="Y64" s="209">
        <f>AC39</f>
        <v>0</v>
      </c>
    </row>
    <row r="65" spans="1:25" x14ac:dyDescent="0.25">
      <c r="B65" s="206"/>
    </row>
    <row r="66" spans="1:25" x14ac:dyDescent="0.25">
      <c r="A66" s="206" t="s">
        <v>687</v>
      </c>
      <c r="B66" s="245">
        <f>C64*B68</f>
        <v>68138334.077541605</v>
      </c>
      <c r="C66" s="206" t="s">
        <v>690</v>
      </c>
      <c r="H66" s="206">
        <v>14.8</v>
      </c>
    </row>
    <row r="67" spans="1:25" x14ac:dyDescent="0.25">
      <c r="A67" s="206" t="s">
        <v>693</v>
      </c>
      <c r="B67" s="219">
        <f>B66/365</f>
        <v>186680.36733573044</v>
      </c>
      <c r="C67" s="206" t="s">
        <v>694</v>
      </c>
    </row>
    <row r="68" spans="1:25" x14ac:dyDescent="0.25">
      <c r="A68" s="206" t="s">
        <v>697</v>
      </c>
      <c r="B68" s="251">
        <v>4000000</v>
      </c>
      <c r="C68" s="206" t="s">
        <v>691</v>
      </c>
    </row>
    <row r="69" spans="1:25" x14ac:dyDescent="0.25">
      <c r="A69" s="265" t="s">
        <v>688</v>
      </c>
      <c r="B69" s="266">
        <f>B68/365/1000</f>
        <v>10.95890410958904</v>
      </c>
      <c r="C69" s="206" t="s">
        <v>689</v>
      </c>
      <c r="F69" s="245"/>
    </row>
    <row r="70" spans="1:25" x14ac:dyDescent="0.25">
      <c r="A70" s="267" t="s">
        <v>692</v>
      </c>
      <c r="B70" s="268">
        <f>B66/(B69*1000)/365</f>
        <v>17.0345835193854</v>
      </c>
      <c r="C70" s="206" t="s">
        <v>695</v>
      </c>
    </row>
    <row r="71" spans="1:25" x14ac:dyDescent="0.25">
      <c r="B71" s="206"/>
      <c r="C71" s="243" t="s">
        <v>696</v>
      </c>
    </row>
    <row r="72" spans="1:25" x14ac:dyDescent="0.25">
      <c r="B72" s="253"/>
    </row>
    <row r="73" spans="1:25" ht="16" thickBot="1" x14ac:dyDescent="0.3">
      <c r="B73" s="253"/>
    </row>
    <row r="74" spans="1:25" x14ac:dyDescent="0.25">
      <c r="A74" s="264" t="s">
        <v>718</v>
      </c>
      <c r="B74" s="206"/>
      <c r="C74" s="232">
        <v>2028</v>
      </c>
      <c r="D74" s="232">
        <v>2029</v>
      </c>
      <c r="E74" s="232">
        <v>2030</v>
      </c>
      <c r="F74" s="232">
        <v>2031</v>
      </c>
      <c r="G74" s="232">
        <v>2032</v>
      </c>
      <c r="H74" s="232">
        <v>2033</v>
      </c>
      <c r="I74" s="232">
        <v>2034</v>
      </c>
      <c r="J74" s="232">
        <v>2035</v>
      </c>
      <c r="K74" s="232">
        <v>2036</v>
      </c>
      <c r="L74" s="232">
        <v>2037</v>
      </c>
      <c r="M74" s="232">
        <v>2038</v>
      </c>
      <c r="N74" s="232">
        <v>2039</v>
      </c>
      <c r="O74" s="232">
        <v>2040</v>
      </c>
      <c r="P74" s="232">
        <v>2041</v>
      </c>
      <c r="Q74" s="232">
        <v>2042</v>
      </c>
      <c r="R74" s="232">
        <v>2043</v>
      </c>
      <c r="S74" s="232">
        <v>2044</v>
      </c>
      <c r="T74" s="232">
        <v>2045</v>
      </c>
      <c r="U74" s="232">
        <v>2046</v>
      </c>
      <c r="V74" s="232">
        <v>2047</v>
      </c>
      <c r="W74" s="232">
        <v>2048</v>
      </c>
      <c r="X74" s="232">
        <v>2049</v>
      </c>
      <c r="Y74" s="233">
        <v>2050</v>
      </c>
    </row>
    <row r="75" spans="1:25" x14ac:dyDescent="0.25">
      <c r="B75" s="243" t="s">
        <v>686</v>
      </c>
      <c r="D75" s="209"/>
      <c r="E75" s="252">
        <f>I39</f>
        <v>16.001841268201602</v>
      </c>
      <c r="F75" s="209">
        <f>E75</f>
        <v>16.001841268201602</v>
      </c>
      <c r="G75" s="209">
        <f t="shared" ref="G75:X75" si="20">F75</f>
        <v>16.001841268201602</v>
      </c>
      <c r="H75" s="209">
        <f t="shared" si="20"/>
        <v>16.001841268201602</v>
      </c>
      <c r="I75" s="209">
        <f t="shared" si="20"/>
        <v>16.001841268201602</v>
      </c>
      <c r="J75" s="209">
        <f t="shared" si="20"/>
        <v>16.001841268201602</v>
      </c>
      <c r="K75" s="209">
        <f t="shared" si="20"/>
        <v>16.001841268201602</v>
      </c>
      <c r="L75" s="209">
        <f t="shared" si="20"/>
        <v>16.001841268201602</v>
      </c>
      <c r="M75" s="209">
        <f t="shared" si="20"/>
        <v>16.001841268201602</v>
      </c>
      <c r="N75" s="209">
        <f t="shared" si="20"/>
        <v>16.001841268201602</v>
      </c>
      <c r="O75" s="209">
        <f t="shared" si="20"/>
        <v>16.001841268201602</v>
      </c>
      <c r="P75" s="209">
        <f t="shared" si="20"/>
        <v>16.001841268201602</v>
      </c>
      <c r="Q75" s="209">
        <f t="shared" si="20"/>
        <v>16.001841268201602</v>
      </c>
      <c r="R75" s="209">
        <f t="shared" si="20"/>
        <v>16.001841268201602</v>
      </c>
      <c r="S75" s="209">
        <f t="shared" si="20"/>
        <v>16.001841268201602</v>
      </c>
      <c r="T75" s="209">
        <f t="shared" si="20"/>
        <v>16.001841268201602</v>
      </c>
      <c r="U75" s="209">
        <f t="shared" si="20"/>
        <v>16.001841268201602</v>
      </c>
      <c r="V75" s="209">
        <f t="shared" si="20"/>
        <v>16.001841268201602</v>
      </c>
      <c r="W75" s="209">
        <f t="shared" si="20"/>
        <v>16.001841268201602</v>
      </c>
      <c r="X75" s="209">
        <f t="shared" si="20"/>
        <v>16.001841268201602</v>
      </c>
      <c r="Y75" s="209">
        <f>AC50</f>
        <v>0</v>
      </c>
    </row>
    <row r="76" spans="1:25" x14ac:dyDescent="0.25">
      <c r="B76" s="206"/>
    </row>
    <row r="77" spans="1:25" x14ac:dyDescent="0.25">
      <c r="A77" s="206" t="s">
        <v>687</v>
      </c>
      <c r="B77" s="245">
        <f>E75*B79</f>
        <v>64007365.07280641</v>
      </c>
      <c r="C77" s="206" t="s">
        <v>690</v>
      </c>
    </row>
    <row r="78" spans="1:25" x14ac:dyDescent="0.25">
      <c r="A78" s="206" t="s">
        <v>693</v>
      </c>
      <c r="B78" s="219">
        <f>B77/365</f>
        <v>175362.64403508606</v>
      </c>
      <c r="C78" s="206" t="s">
        <v>694</v>
      </c>
    </row>
    <row r="79" spans="1:25" x14ac:dyDescent="0.25">
      <c r="A79" s="206" t="s">
        <v>697</v>
      </c>
      <c r="B79" s="251">
        <v>4000000</v>
      </c>
      <c r="C79" s="206" t="s">
        <v>691</v>
      </c>
    </row>
    <row r="80" spans="1:25" x14ac:dyDescent="0.25">
      <c r="A80" s="265" t="s">
        <v>688</v>
      </c>
      <c r="B80" s="266">
        <f>B79/365/1000</f>
        <v>10.95890410958904</v>
      </c>
      <c r="C80" s="206" t="s">
        <v>689</v>
      </c>
      <c r="F80" s="245"/>
    </row>
    <row r="81" spans="1:27" x14ac:dyDescent="0.25">
      <c r="A81" s="267" t="s">
        <v>692</v>
      </c>
      <c r="B81" s="268">
        <f>B77/(B80*1000)/365</f>
        <v>16.001841268201606</v>
      </c>
      <c r="C81" s="206" t="s">
        <v>695</v>
      </c>
    </row>
    <row r="82" spans="1:27" x14ac:dyDescent="0.25">
      <c r="B82" s="206"/>
      <c r="C82" s="243" t="s">
        <v>696</v>
      </c>
    </row>
    <row r="83" spans="1:27" x14ac:dyDescent="0.25">
      <c r="B83" s="253"/>
    </row>
    <row r="84" spans="1:27" ht="16" thickBot="1" x14ac:dyDescent="0.3">
      <c r="B84" s="253"/>
    </row>
    <row r="85" spans="1:27" x14ac:dyDescent="0.25">
      <c r="A85" s="264" t="s">
        <v>719</v>
      </c>
      <c r="B85" s="206"/>
      <c r="C85" s="232">
        <v>2028</v>
      </c>
      <c r="D85" s="232">
        <v>2029</v>
      </c>
      <c r="E85" s="232">
        <v>2030</v>
      </c>
      <c r="F85" s="232">
        <v>2031</v>
      </c>
      <c r="G85" s="232">
        <v>2032</v>
      </c>
      <c r="H85" s="232">
        <v>2033</v>
      </c>
      <c r="I85" s="232">
        <v>2034</v>
      </c>
      <c r="J85" s="232">
        <v>2035</v>
      </c>
      <c r="K85" s="232">
        <v>2036</v>
      </c>
      <c r="L85" s="232">
        <v>2037</v>
      </c>
      <c r="M85" s="232">
        <v>2038</v>
      </c>
      <c r="N85" s="232">
        <v>2039</v>
      </c>
      <c r="O85" s="232">
        <v>2040</v>
      </c>
      <c r="P85" s="232">
        <v>2041</v>
      </c>
      <c r="Q85" s="232">
        <v>2042</v>
      </c>
      <c r="R85" s="232">
        <v>2043</v>
      </c>
      <c r="S85" s="232">
        <v>2044</v>
      </c>
      <c r="T85" s="232">
        <v>2045</v>
      </c>
      <c r="U85" s="232">
        <v>2046</v>
      </c>
      <c r="V85" s="232">
        <v>2047</v>
      </c>
      <c r="W85" s="232">
        <v>2048</v>
      </c>
      <c r="X85" s="232">
        <v>2049</v>
      </c>
      <c r="Y85" s="233">
        <v>2050</v>
      </c>
      <c r="Z85" s="232">
        <v>2051</v>
      </c>
      <c r="AA85" s="233">
        <v>2052</v>
      </c>
    </row>
    <row r="86" spans="1:27" x14ac:dyDescent="0.25">
      <c r="B86" s="243" t="s">
        <v>686</v>
      </c>
      <c r="D86" s="209"/>
      <c r="E86" s="209"/>
      <c r="F86" s="209"/>
      <c r="G86" s="252">
        <f>K39</f>
        <v>14.79662348333996</v>
      </c>
      <c r="H86" s="209">
        <f>G86</f>
        <v>14.79662348333996</v>
      </c>
      <c r="I86" s="209">
        <f t="shared" ref="I86:Z86" si="21">H86</f>
        <v>14.79662348333996</v>
      </c>
      <c r="J86" s="209">
        <f t="shared" si="21"/>
        <v>14.79662348333996</v>
      </c>
      <c r="K86" s="209">
        <f t="shared" si="21"/>
        <v>14.79662348333996</v>
      </c>
      <c r="L86" s="209">
        <f t="shared" si="21"/>
        <v>14.79662348333996</v>
      </c>
      <c r="M86" s="209">
        <f t="shared" si="21"/>
        <v>14.79662348333996</v>
      </c>
      <c r="N86" s="209">
        <f t="shared" si="21"/>
        <v>14.79662348333996</v>
      </c>
      <c r="O86" s="209">
        <f t="shared" si="21"/>
        <v>14.79662348333996</v>
      </c>
      <c r="P86" s="209">
        <f t="shared" si="21"/>
        <v>14.79662348333996</v>
      </c>
      <c r="Q86" s="209">
        <f t="shared" si="21"/>
        <v>14.79662348333996</v>
      </c>
      <c r="R86" s="209">
        <f t="shared" si="21"/>
        <v>14.79662348333996</v>
      </c>
      <c r="S86" s="209">
        <f t="shared" si="21"/>
        <v>14.79662348333996</v>
      </c>
      <c r="T86" s="209">
        <f t="shared" si="21"/>
        <v>14.79662348333996</v>
      </c>
      <c r="U86" s="209">
        <f t="shared" si="21"/>
        <v>14.79662348333996</v>
      </c>
      <c r="V86" s="209">
        <f t="shared" si="21"/>
        <v>14.79662348333996</v>
      </c>
      <c r="W86" s="209">
        <f t="shared" si="21"/>
        <v>14.79662348333996</v>
      </c>
      <c r="X86" s="209">
        <f t="shared" si="21"/>
        <v>14.79662348333996</v>
      </c>
      <c r="Y86" s="209">
        <f t="shared" si="21"/>
        <v>14.79662348333996</v>
      </c>
      <c r="Z86" s="209">
        <f t="shared" si="21"/>
        <v>14.79662348333996</v>
      </c>
    </row>
    <row r="87" spans="1:27" x14ac:dyDescent="0.25">
      <c r="B87" s="206"/>
    </row>
    <row r="88" spans="1:27" x14ac:dyDescent="0.25">
      <c r="A88" s="206" t="s">
        <v>687</v>
      </c>
      <c r="B88" s="245">
        <f>G86*B90</f>
        <v>59186493.933359839</v>
      </c>
      <c r="C88" s="206" t="s">
        <v>690</v>
      </c>
    </row>
    <row r="89" spans="1:27" x14ac:dyDescent="0.25">
      <c r="A89" s="206" t="s">
        <v>693</v>
      </c>
      <c r="B89" s="219">
        <f>B88/365</f>
        <v>162154.77789961599</v>
      </c>
      <c r="C89" s="206" t="s">
        <v>694</v>
      </c>
    </row>
    <row r="90" spans="1:27" x14ac:dyDescent="0.25">
      <c r="A90" s="206" t="s">
        <v>697</v>
      </c>
      <c r="B90" s="251">
        <v>4000000</v>
      </c>
      <c r="C90" s="206" t="s">
        <v>691</v>
      </c>
    </row>
    <row r="91" spans="1:27" x14ac:dyDescent="0.25">
      <c r="A91" s="265" t="s">
        <v>688</v>
      </c>
      <c r="B91" s="266">
        <f>B90/365/1000</f>
        <v>10.95890410958904</v>
      </c>
      <c r="C91" s="206" t="s">
        <v>689</v>
      </c>
      <c r="F91" s="245"/>
    </row>
    <row r="92" spans="1:27" x14ac:dyDescent="0.25">
      <c r="A92" s="267" t="s">
        <v>692</v>
      </c>
      <c r="B92" s="268">
        <f>B88/(B91*1000)/365</f>
        <v>14.79662348333996</v>
      </c>
      <c r="C92" s="206" t="s">
        <v>695</v>
      </c>
    </row>
    <row r="93" spans="1:27" x14ac:dyDescent="0.25">
      <c r="B93" s="206"/>
      <c r="C93" s="243" t="s">
        <v>696</v>
      </c>
    </row>
    <row r="94" spans="1:27" x14ac:dyDescent="0.25">
      <c r="B94" s="253"/>
    </row>
    <row r="95" spans="1:27" x14ac:dyDescent="0.25">
      <c r="B95" s="253"/>
    </row>
    <row r="96" spans="1:27" x14ac:dyDescent="0.25">
      <c r="B96" s="253"/>
    </row>
    <row r="97" spans="1:2" x14ac:dyDescent="0.25">
      <c r="B97" s="223"/>
    </row>
    <row r="98" spans="1:2" x14ac:dyDescent="0.25">
      <c r="A98" s="246" t="s">
        <v>700</v>
      </c>
      <c r="B98" s="223"/>
    </row>
    <row r="99" spans="1:2" x14ac:dyDescent="0.25">
      <c r="B99" s="223"/>
    </row>
  </sheetData>
  <pageMargins left="0.7" right="0.7" top="0.75" bottom="0.75" header="0.3" footer="0.3"/>
  <pageSetup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9"/>
  <sheetViews>
    <sheetView workbookViewId="0">
      <selection activeCell="E4" sqref="E4"/>
    </sheetView>
  </sheetViews>
  <sheetFormatPr defaultRowHeight="11.5" x14ac:dyDescent="0.25"/>
  <cols>
    <col min="2" max="2" width="46.296875" customWidth="1"/>
    <col min="3" max="5" width="11.8984375" customWidth="1"/>
  </cols>
  <sheetData>
    <row r="2" spans="2:5" x14ac:dyDescent="0.25">
      <c r="B2" s="270" t="s">
        <v>725</v>
      </c>
      <c r="C2" s="273" t="s">
        <v>720</v>
      </c>
      <c r="D2" s="273" t="s">
        <v>721</v>
      </c>
      <c r="E2" s="274" t="s">
        <v>722</v>
      </c>
    </row>
    <row r="3" spans="2:5" x14ac:dyDescent="0.25">
      <c r="B3" s="269" t="s">
        <v>663</v>
      </c>
      <c r="C3" s="275">
        <v>26.562256192992756</v>
      </c>
      <c r="D3" s="275">
        <v>26.870268698029367</v>
      </c>
      <c r="E3" s="276">
        <v>27.252603699205331</v>
      </c>
    </row>
    <row r="4" spans="2:5" x14ac:dyDescent="0.25">
      <c r="B4" s="269" t="s">
        <v>664</v>
      </c>
      <c r="C4" s="275">
        <v>13.736464834848377</v>
      </c>
      <c r="D4" s="275">
        <v>13.573457039993537</v>
      </c>
      <c r="E4" s="276">
        <v>13.22327465524063</v>
      </c>
    </row>
    <row r="5" spans="2:5" x14ac:dyDescent="0.25">
      <c r="B5" s="269" t="s">
        <v>704</v>
      </c>
      <c r="C5" s="275">
        <v>40.298721027841133</v>
      </c>
      <c r="D5" s="275">
        <v>40.443725738022906</v>
      </c>
      <c r="E5" s="276">
        <v>40.47587835444596</v>
      </c>
    </row>
    <row r="6" spans="2:5" x14ac:dyDescent="0.25">
      <c r="B6" s="269" t="s">
        <v>702</v>
      </c>
      <c r="C6" s="275">
        <v>-23.264137508455732</v>
      </c>
      <c r="D6" s="275">
        <v>-24.441884469821304</v>
      </c>
      <c r="E6" s="276">
        <v>-25.679254871106</v>
      </c>
    </row>
    <row r="7" spans="2:5" x14ac:dyDescent="0.25">
      <c r="B7" s="271" t="s">
        <v>703</v>
      </c>
      <c r="C7" s="277">
        <v>17.0345835193854</v>
      </c>
      <c r="D7" s="277">
        <v>16.001841268201602</v>
      </c>
      <c r="E7" s="278">
        <v>14.79662348333996</v>
      </c>
    </row>
    <row r="8" spans="2:5" s="9" customFormat="1" x14ac:dyDescent="0.25">
      <c r="B8" s="49" t="s">
        <v>723</v>
      </c>
      <c r="C8" s="272"/>
      <c r="D8" s="272"/>
      <c r="E8" s="272"/>
    </row>
    <row r="9" spans="2:5" s="9" customFormat="1" x14ac:dyDescent="0.25">
      <c r="B9" s="49" t="s">
        <v>724</v>
      </c>
      <c r="C9" s="272"/>
      <c r="D9" s="272"/>
      <c r="E9" s="272"/>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H37"/>
  <sheetViews>
    <sheetView workbookViewId="0">
      <selection activeCell="L15" sqref="L15"/>
    </sheetView>
  </sheetViews>
  <sheetFormatPr defaultRowHeight="11.5" x14ac:dyDescent="0.25"/>
  <sheetData>
    <row r="1" spans="3:8" ht="12" thickBot="1" x14ac:dyDescent="0.3"/>
    <row r="2" spans="3:8" x14ac:dyDescent="0.25">
      <c r="C2" s="5"/>
      <c r="D2" s="5"/>
      <c r="E2" s="254" t="s">
        <v>705</v>
      </c>
      <c r="F2" s="255" t="s">
        <v>706</v>
      </c>
    </row>
    <row r="3" spans="3:8" ht="69" x14ac:dyDescent="0.25">
      <c r="C3" s="5"/>
      <c r="D3" s="5"/>
      <c r="E3" s="256" t="s">
        <v>707</v>
      </c>
      <c r="F3" s="257" t="s">
        <v>708</v>
      </c>
    </row>
    <row r="4" spans="3:8" ht="13.5" thickBot="1" x14ac:dyDescent="0.3">
      <c r="C4" s="5"/>
      <c r="D4" s="5"/>
      <c r="E4" s="258" t="s">
        <v>709</v>
      </c>
      <c r="F4" s="259" t="s">
        <v>709</v>
      </c>
    </row>
    <row r="5" spans="3:8" ht="13.5" thickBot="1" x14ac:dyDescent="0.35">
      <c r="C5" s="260" t="s">
        <v>710</v>
      </c>
      <c r="D5" s="5"/>
      <c r="E5" s="261" t="str">
        <f t="shared" ref="E5:F5" si="0">E2&amp;"-"&amp;E4</f>
        <v>East Side-Med</v>
      </c>
      <c r="F5" s="261" t="str">
        <f t="shared" si="0"/>
        <v>West Side-Med</v>
      </c>
    </row>
    <row r="6" spans="3:8" ht="12" thickTop="1" x14ac:dyDescent="0.25">
      <c r="C6" s="5"/>
      <c r="D6" s="5"/>
      <c r="E6" s="5"/>
      <c r="F6" s="5" t="s">
        <v>715</v>
      </c>
      <c r="H6" t="s">
        <v>716</v>
      </c>
    </row>
    <row r="7" spans="3:8" x14ac:dyDescent="0.25">
      <c r="C7" s="77">
        <v>2020</v>
      </c>
      <c r="D7" s="5"/>
      <c r="E7" s="262">
        <v>2.5390825341840815</v>
      </c>
      <c r="F7" s="262">
        <v>2.7367514243388524</v>
      </c>
      <c r="H7" s="15">
        <f>F7/'deflator data'!B$22</f>
        <v>3.1453577011724199</v>
      </c>
    </row>
    <row r="8" spans="3:8" x14ac:dyDescent="0.25">
      <c r="C8" s="77">
        <v>2021</v>
      </c>
      <c r="D8" s="5"/>
      <c r="E8" s="262">
        <v>2.7288667523155161</v>
      </c>
      <c r="F8" s="262">
        <v>2.9166738488070609</v>
      </c>
      <c r="H8" s="15">
        <f>F8/'deflator data'!B$22</f>
        <v>3.3521431543128739</v>
      </c>
    </row>
    <row r="9" spans="3:8" x14ac:dyDescent="0.25">
      <c r="C9" s="77">
        <v>2022</v>
      </c>
      <c r="D9" s="5"/>
      <c r="E9" s="262">
        <v>2.6725326366816522</v>
      </c>
      <c r="F9" s="262">
        <v>2.8632670336097221</v>
      </c>
      <c r="H9" s="15">
        <f>F9/'deflator data'!B$22</f>
        <v>3.2907625203312461</v>
      </c>
    </row>
    <row r="10" spans="3:8" x14ac:dyDescent="0.25">
      <c r="C10" s="77">
        <v>2023</v>
      </c>
      <c r="D10" s="5"/>
      <c r="E10" s="262">
        <v>2.8657029982742355</v>
      </c>
      <c r="F10" s="262">
        <v>3.0463996467180881</v>
      </c>
      <c r="H10" s="15">
        <f>F10/'deflator data'!B$22</f>
        <v>3.5012374541719704</v>
      </c>
    </row>
    <row r="11" spans="3:8" x14ac:dyDescent="0.25">
      <c r="C11" s="77">
        <v>2024</v>
      </c>
      <c r="D11" s="5"/>
      <c r="E11" s="262">
        <v>3.0169636645345279</v>
      </c>
      <c r="F11" s="262">
        <v>3.21720980258941</v>
      </c>
      <c r="H11" s="15">
        <f>F11/'deflator data'!B$22</f>
        <v>3.6975501460848341</v>
      </c>
    </row>
    <row r="12" spans="3:8" x14ac:dyDescent="0.25">
      <c r="C12" s="77">
        <v>2025</v>
      </c>
      <c r="D12" s="5"/>
      <c r="E12" s="262">
        <v>3.102270840563166</v>
      </c>
      <c r="F12" s="262">
        <v>3.3135423944961455</v>
      </c>
      <c r="H12" s="15">
        <f>F12/'deflator data'!B$22</f>
        <v>3.8082655209387815</v>
      </c>
    </row>
    <row r="13" spans="3:8" x14ac:dyDescent="0.25">
      <c r="C13" s="77">
        <v>2026</v>
      </c>
      <c r="D13" s="5"/>
      <c r="E13" s="262">
        <v>3.1878705311414062</v>
      </c>
      <c r="F13" s="262">
        <v>3.4102053066179621</v>
      </c>
      <c r="H13" s="15">
        <f>F13/'deflator data'!B$22</f>
        <v>3.9193605339371063</v>
      </c>
    </row>
    <row r="14" spans="3:8" x14ac:dyDescent="0.25">
      <c r="C14" s="77">
        <v>2027</v>
      </c>
      <c r="D14" s="5"/>
      <c r="E14" s="262">
        <v>3.2734702217196472</v>
      </c>
      <c r="F14" s="262">
        <v>3.5068682187397804</v>
      </c>
      <c r="H14" s="15">
        <f>F14/'deflator data'!B$22</f>
        <v>4.0304555469354328</v>
      </c>
    </row>
    <row r="15" spans="3:8" x14ac:dyDescent="0.25">
      <c r="C15" s="77">
        <v>2028</v>
      </c>
      <c r="D15" s="5"/>
      <c r="E15" s="262">
        <v>3.1699910624744851</v>
      </c>
      <c r="F15" s="262">
        <v>3.3900150290963915</v>
      </c>
      <c r="H15" s="15">
        <f>F15/'deflator data'!B$22</f>
        <v>3.8961557794510018</v>
      </c>
    </row>
    <row r="16" spans="3:8" x14ac:dyDescent="0.25">
      <c r="C16" s="77">
        <v>2029</v>
      </c>
      <c r="D16" s="5"/>
      <c r="E16" s="262">
        <v>3.3115561510059339</v>
      </c>
      <c r="F16" s="262">
        <v>3.5498765148073113</v>
      </c>
      <c r="H16" s="15">
        <f>F16/'deflator data'!B$22</f>
        <v>4.0798851275861461</v>
      </c>
    </row>
    <row r="17" spans="3:8" x14ac:dyDescent="0.25">
      <c r="C17" s="77">
        <v>2030</v>
      </c>
      <c r="D17" s="5"/>
      <c r="E17" s="262">
        <v>3.4531212395373831</v>
      </c>
      <c r="F17" s="262">
        <v>3.7097380005182337</v>
      </c>
      <c r="H17" s="15">
        <f>F17/'deflator data'!B$22</f>
        <v>4.2636144757212939</v>
      </c>
    </row>
    <row r="18" spans="3:8" x14ac:dyDescent="0.25">
      <c r="C18" s="77">
        <v>2031</v>
      </c>
      <c r="D18" s="5"/>
      <c r="E18" s="262">
        <v>3.3301291228400047</v>
      </c>
      <c r="F18" s="262">
        <v>3.5708499264179157</v>
      </c>
      <c r="H18" s="15">
        <f>F18/'deflator data'!B$22</f>
        <v>4.1039899407389191</v>
      </c>
    </row>
    <row r="19" spans="3:8" x14ac:dyDescent="0.25">
      <c r="C19" s="77">
        <v>2032</v>
      </c>
      <c r="D19" s="5"/>
      <c r="E19" s="262">
        <v>3.5123593540148339</v>
      </c>
      <c r="F19" s="262">
        <v>3.7766322686553591</v>
      </c>
      <c r="H19" s="15">
        <f>F19/'deflator data'!B$22</f>
        <v>4.340496285146215</v>
      </c>
    </row>
    <row r="20" spans="3:8" x14ac:dyDescent="0.25">
      <c r="C20" s="77">
        <v>2033</v>
      </c>
      <c r="D20" s="5"/>
      <c r="E20" s="262">
        <v>3.6945895851896626</v>
      </c>
      <c r="F20" s="262">
        <v>3.9824146108928038</v>
      </c>
      <c r="H20" s="15">
        <f>F20/'deflator data'!B$22</f>
        <v>4.5770026295535118</v>
      </c>
    </row>
    <row r="21" spans="3:8" x14ac:dyDescent="0.25">
      <c r="C21" s="77">
        <v>2034</v>
      </c>
      <c r="D21" s="5"/>
      <c r="E21" s="262">
        <v>3.6124168446787635</v>
      </c>
      <c r="F21" s="262">
        <v>3.8896215605773499</v>
      </c>
      <c r="H21" s="15">
        <f>F21/'deflator data'!B$22</f>
        <v>4.4703552618644631</v>
      </c>
    </row>
    <row r="22" spans="3:8" x14ac:dyDescent="0.25">
      <c r="C22" s="77">
        <v>2035</v>
      </c>
      <c r="D22" s="5"/>
      <c r="E22" s="262">
        <v>3.7302657983623422</v>
      </c>
      <c r="F22" s="262">
        <v>4.0227017501973306</v>
      </c>
      <c r="H22" s="15">
        <f>F22/'deflator data'!B$22</f>
        <v>4.623304775500257</v>
      </c>
    </row>
    <row r="23" spans="3:8" x14ac:dyDescent="0.25">
      <c r="C23" s="77">
        <v>2036</v>
      </c>
      <c r="D23" s="5"/>
      <c r="E23" s="262">
        <v>3.8481147520459209</v>
      </c>
      <c r="F23" s="262">
        <v>4.1557819398173104</v>
      </c>
      <c r="H23" s="15">
        <f>F23/'deflator data'!B$22</f>
        <v>4.7762542891360491</v>
      </c>
    </row>
    <row r="24" spans="3:8" x14ac:dyDescent="0.25">
      <c r="C24" s="77">
        <v>2037</v>
      </c>
      <c r="D24" s="5"/>
      <c r="E24" s="262">
        <v>3.7352639699821371</v>
      </c>
      <c r="F24" s="262">
        <v>4.0283459040580558</v>
      </c>
      <c r="H24" s="15">
        <f>F24/'deflator data'!B$22</f>
        <v>4.6297916206899776</v>
      </c>
    </row>
    <row r="25" spans="3:8" x14ac:dyDescent="0.25">
      <c r="C25" s="77">
        <v>2038</v>
      </c>
      <c r="D25" s="5"/>
      <c r="E25" s="262">
        <v>3.8928329390933496</v>
      </c>
      <c r="F25" s="262">
        <v>4.2062796712414849</v>
      </c>
      <c r="H25" s="15">
        <f>F25/'deflator data'!B$22</f>
        <v>4.8342915032630627</v>
      </c>
    </row>
    <row r="26" spans="3:8" x14ac:dyDescent="0.25">
      <c r="C26" s="77">
        <v>2039</v>
      </c>
      <c r="D26" s="5"/>
      <c r="E26" s="262">
        <v>4.0504019082045604</v>
      </c>
      <c r="F26" s="262">
        <v>4.384213438424915</v>
      </c>
      <c r="H26" s="15">
        <f>F26/'deflator data'!B$22</f>
        <v>5.0387913858361495</v>
      </c>
    </row>
    <row r="27" spans="3:8" x14ac:dyDescent="0.25">
      <c r="C27" s="77">
        <v>2040</v>
      </c>
      <c r="D27" s="5"/>
      <c r="E27" s="262">
        <v>3.9600972223423141</v>
      </c>
      <c r="F27" s="262">
        <v>4.2822374399753427</v>
      </c>
      <c r="H27" s="15">
        <f>F27/'deflator data'!B$22</f>
        <v>4.9215900246874664</v>
      </c>
    </row>
    <row r="28" spans="3:8" x14ac:dyDescent="0.25">
      <c r="C28" s="77">
        <v>2041</v>
      </c>
      <c r="D28" s="5"/>
      <c r="E28" s="262">
        <v>4.1163144582485716</v>
      </c>
      <c r="F28" s="262">
        <v>4.4586447709401353</v>
      </c>
      <c r="H28" s="15">
        <f>F28/'deflator data'!B$22</f>
        <v>5.1243355689333887</v>
      </c>
    </row>
    <row r="29" spans="3:8" x14ac:dyDescent="0.25">
      <c r="C29" s="77">
        <v>2042</v>
      </c>
      <c r="D29" s="5"/>
      <c r="E29" s="262">
        <v>4.2725316941548259</v>
      </c>
      <c r="F29" s="262">
        <v>4.6350521019049271</v>
      </c>
      <c r="H29" s="15">
        <f>F29/'deflator data'!B$22</f>
        <v>5.3270811131793092</v>
      </c>
    </row>
    <row r="30" spans="3:8" x14ac:dyDescent="0.25">
      <c r="C30" s="77">
        <v>2043</v>
      </c>
      <c r="D30" s="5"/>
      <c r="E30" s="262">
        <v>4.1394642794555256</v>
      </c>
      <c r="F30" s="262">
        <v>4.4847865609144604</v>
      </c>
      <c r="H30" s="15">
        <f>F30/'deflator data'!B$22</f>
        <v>5.1543804168822813</v>
      </c>
    </row>
    <row r="31" spans="3:8" x14ac:dyDescent="0.25">
      <c r="C31" s="77">
        <v>2044</v>
      </c>
      <c r="D31" s="5"/>
      <c r="E31" s="262">
        <v>4.2102972414206947</v>
      </c>
      <c r="F31" s="262">
        <v>4.5647742376398677</v>
      </c>
      <c r="H31" s="15">
        <f>F31/'deflator data'!B$22</f>
        <v>5.2463105252398305</v>
      </c>
    </row>
    <row r="32" spans="3:8" x14ac:dyDescent="0.25">
      <c r="C32" s="77">
        <v>2045</v>
      </c>
      <c r="D32" s="5"/>
      <c r="E32" s="262">
        <v>4.2811302033858647</v>
      </c>
      <c r="F32" s="262">
        <v>4.644761914365275</v>
      </c>
      <c r="H32" s="15">
        <f>F32/'deflator data'!B$22</f>
        <v>5.3382406335973807</v>
      </c>
    </row>
    <row r="33" spans="3:8" x14ac:dyDescent="0.25">
      <c r="C33" s="77">
        <v>2046</v>
      </c>
      <c r="D33" s="5"/>
      <c r="E33" s="262">
        <v>4.1159056621197765</v>
      </c>
      <c r="F33" s="262">
        <v>4.4581831404832206</v>
      </c>
      <c r="H33" s="15">
        <f>F33/'deflator data'!B$22</f>
        <v>5.1238050154823735</v>
      </c>
    </row>
    <row r="34" spans="3:8" x14ac:dyDescent="0.25">
      <c r="C34" s="77">
        <v>2047</v>
      </c>
      <c r="D34" s="5"/>
      <c r="E34" s="262">
        <v>4.2285354017767327</v>
      </c>
      <c r="F34" s="262">
        <v>4.5853695654950295</v>
      </c>
      <c r="H34" s="15">
        <f>F34/'deflator data'!B$22</f>
        <v>5.2699808054491681</v>
      </c>
    </row>
    <row r="35" spans="3:8" x14ac:dyDescent="0.25">
      <c r="C35" s="77">
        <v>2048</v>
      </c>
      <c r="D35" s="5"/>
      <c r="E35" s="262">
        <v>4.341165141433688</v>
      </c>
      <c r="F35" s="262">
        <v>4.7125559905068384</v>
      </c>
      <c r="H35" s="15">
        <f>F35/'deflator data'!B$22</f>
        <v>5.4161565954159627</v>
      </c>
    </row>
    <row r="36" spans="3:8" x14ac:dyDescent="0.25">
      <c r="C36" s="77">
        <v>2049</v>
      </c>
      <c r="D36" s="5"/>
      <c r="E36" s="262">
        <v>4.1890764686947328</v>
      </c>
      <c r="F36" s="262">
        <v>4.5408108135280498</v>
      </c>
      <c r="H36" s="15">
        <f>F36/'deflator data'!B$22</f>
        <v>5.2187692805706059</v>
      </c>
    </row>
    <row r="37" spans="3:8" x14ac:dyDescent="0.25">
      <c r="C37" s="77">
        <v>2050</v>
      </c>
      <c r="D37" s="5"/>
      <c r="E37" s="262">
        <v>4.2623565138654333</v>
      </c>
      <c r="F37" s="262">
        <v>4.623561843569961</v>
      </c>
      <c r="H37" s="15">
        <f>F37/'deflator data'!B$22</f>
        <v>5.3138753202742866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6"/>
  <sheetViews>
    <sheetView workbookViewId="0">
      <selection activeCell="D22" sqref="D22"/>
    </sheetView>
  </sheetViews>
  <sheetFormatPr defaultRowHeight="11.5" x14ac:dyDescent="0.25"/>
  <sheetData>
    <row r="1" spans="1:4" s="8" customFormat="1" ht="15.5" x14ac:dyDescent="0.25">
      <c r="A1" s="217" t="s">
        <v>667</v>
      </c>
    </row>
    <row r="2" spans="1:4" x14ac:dyDescent="0.25">
      <c r="A2" t="s">
        <v>711</v>
      </c>
    </row>
    <row r="3" spans="1:4" x14ac:dyDescent="0.25">
      <c r="B3" t="s">
        <v>712</v>
      </c>
    </row>
    <row r="4" spans="1:4" x14ac:dyDescent="0.25">
      <c r="B4" t="s">
        <v>713</v>
      </c>
    </row>
    <row r="5" spans="1:4" x14ac:dyDescent="0.25">
      <c r="B5" t="s">
        <v>714</v>
      </c>
    </row>
    <row r="6" spans="1:4" x14ac:dyDescent="0.25">
      <c r="A6">
        <v>2000</v>
      </c>
      <c r="B6" s="263">
        <v>0.62394010228700181</v>
      </c>
      <c r="C6" s="263"/>
      <c r="D6" s="263"/>
    </row>
    <row r="7" spans="1:4" x14ac:dyDescent="0.25">
      <c r="A7">
        <v>2001</v>
      </c>
      <c r="B7" s="263">
        <v>0.64141042515103786</v>
      </c>
      <c r="C7" s="263"/>
      <c r="D7" s="263"/>
    </row>
    <row r="8" spans="1:4" x14ac:dyDescent="0.25">
      <c r="A8">
        <v>2002</v>
      </c>
      <c r="B8" s="263">
        <v>0.65167299195345452</v>
      </c>
      <c r="C8" s="263"/>
      <c r="D8" s="263"/>
    </row>
    <row r="9" spans="1:4" x14ac:dyDescent="0.25">
      <c r="A9">
        <v>2003</v>
      </c>
      <c r="B9" s="263">
        <v>0.66666147076838389</v>
      </c>
      <c r="C9" s="263"/>
      <c r="D9" s="263"/>
    </row>
    <row r="10" spans="1:4" x14ac:dyDescent="0.25">
      <c r="A10">
        <v>2004</v>
      </c>
      <c r="B10" s="263">
        <v>0.68466133047913025</v>
      </c>
      <c r="C10" s="263"/>
      <c r="D10" s="263"/>
    </row>
    <row r="11" spans="1:4" x14ac:dyDescent="0.25">
      <c r="A11">
        <v>2005</v>
      </c>
      <c r="B11" s="263">
        <v>0.70793981571542075</v>
      </c>
      <c r="C11" s="263"/>
      <c r="D11" s="263"/>
    </row>
    <row r="12" spans="1:4" x14ac:dyDescent="0.25">
      <c r="A12">
        <v>2006</v>
      </c>
      <c r="B12" s="263">
        <v>0.73059388981831419</v>
      </c>
      <c r="C12" s="263"/>
      <c r="D12" s="263"/>
    </row>
    <row r="13" spans="1:4" x14ac:dyDescent="0.25">
      <c r="A13">
        <v>2007</v>
      </c>
      <c r="B13" s="263">
        <v>0.75178111262304526</v>
      </c>
      <c r="C13" s="263"/>
      <c r="D13" s="263"/>
    </row>
    <row r="14" spans="1:4" x14ac:dyDescent="0.25">
      <c r="A14">
        <v>2008</v>
      </c>
      <c r="B14" s="263">
        <v>0.78034879490272102</v>
      </c>
      <c r="C14" s="263"/>
      <c r="D14" s="263"/>
    </row>
    <row r="15" spans="1:4" x14ac:dyDescent="0.25">
      <c r="A15">
        <v>2009</v>
      </c>
      <c r="B15" s="263">
        <v>0.77800774851801291</v>
      </c>
      <c r="C15" s="263"/>
      <c r="D15" s="263"/>
    </row>
    <row r="16" spans="1:4" x14ac:dyDescent="0.25">
      <c r="A16">
        <v>2010</v>
      </c>
      <c r="B16" s="263">
        <v>0.79045587249430116</v>
      </c>
      <c r="C16" s="263"/>
      <c r="D16" s="263"/>
    </row>
    <row r="17" spans="1:4" x14ac:dyDescent="0.25">
      <c r="A17">
        <v>2011</v>
      </c>
      <c r="B17" s="263">
        <v>0.81496000454162443</v>
      </c>
      <c r="C17" s="263"/>
      <c r="D17" s="263"/>
    </row>
    <row r="18" spans="1:4" x14ac:dyDescent="0.25">
      <c r="A18">
        <v>2012</v>
      </c>
      <c r="B18" s="263">
        <v>0.83207416463699846</v>
      </c>
      <c r="C18" s="263"/>
      <c r="D18" s="263"/>
    </row>
    <row r="19" spans="1:4" x14ac:dyDescent="0.25">
      <c r="A19">
        <v>2013</v>
      </c>
      <c r="B19" s="263">
        <v>0.84455527710655331</v>
      </c>
      <c r="C19" s="263"/>
      <c r="D19" s="263"/>
    </row>
    <row r="20" spans="1:4" x14ac:dyDescent="0.25">
      <c r="A20">
        <v>2014</v>
      </c>
      <c r="B20" s="263">
        <v>0.85806816154025822</v>
      </c>
      <c r="C20" s="263"/>
      <c r="D20" s="263"/>
    </row>
    <row r="21" spans="1:4" x14ac:dyDescent="0.25">
      <c r="A21">
        <v>2015</v>
      </c>
      <c r="B21" s="263">
        <v>0.85892622970179844</v>
      </c>
      <c r="C21" s="263"/>
      <c r="D21" s="263"/>
    </row>
    <row r="22" spans="1:4" x14ac:dyDescent="0.25">
      <c r="A22">
        <v>2016</v>
      </c>
      <c r="B22" s="263">
        <v>0.87009227068792172</v>
      </c>
      <c r="C22" s="263"/>
      <c r="D22" s="263"/>
    </row>
    <row r="23" spans="1:4" x14ac:dyDescent="0.25">
      <c r="A23">
        <v>2017</v>
      </c>
      <c r="B23" s="263">
        <v>0.88836420837236796</v>
      </c>
      <c r="C23" s="263"/>
      <c r="D23" s="263"/>
    </row>
    <row r="24" spans="1:4" x14ac:dyDescent="0.25">
      <c r="A24">
        <v>2018</v>
      </c>
      <c r="B24" s="263">
        <v>0.9096849493733048</v>
      </c>
      <c r="C24" s="263"/>
      <c r="D24" s="263"/>
    </row>
    <row r="25" spans="1:4" x14ac:dyDescent="0.25">
      <c r="A25">
        <v>2019</v>
      </c>
      <c r="B25" s="263">
        <v>0.92605927846202429</v>
      </c>
      <c r="C25" s="263"/>
      <c r="D25" s="263"/>
    </row>
    <row r="26" spans="1:4" x14ac:dyDescent="0.25">
      <c r="A26">
        <v>2020</v>
      </c>
      <c r="B26" s="263">
        <v>0.93717198980356864</v>
      </c>
      <c r="C26" s="263"/>
      <c r="D26" s="263"/>
    </row>
    <row r="27" spans="1:4" x14ac:dyDescent="0.25">
      <c r="A27">
        <v>2021</v>
      </c>
      <c r="B27" s="263">
        <v>0.97465886939571145</v>
      </c>
      <c r="C27" s="263"/>
      <c r="D27" s="263"/>
    </row>
    <row r="28" spans="1:4" x14ac:dyDescent="0.25">
      <c r="A28">
        <v>2022</v>
      </c>
      <c r="B28" s="263">
        <v>0.99902534113060415</v>
      </c>
      <c r="C28" s="263"/>
      <c r="D28" s="263"/>
    </row>
    <row r="29" spans="1:4" x14ac:dyDescent="0.25">
      <c r="A29">
        <v>2023</v>
      </c>
      <c r="B29" s="263">
        <v>1.0240009746588692</v>
      </c>
      <c r="C29" s="263"/>
      <c r="D29" s="263"/>
    </row>
    <row r="30" spans="1:4" x14ac:dyDescent="0.25">
      <c r="A30">
        <v>2024</v>
      </c>
      <c r="B30" s="263">
        <v>1.0496009990253408</v>
      </c>
      <c r="C30" s="263"/>
      <c r="D30" s="263"/>
    </row>
    <row r="31" spans="1:4" x14ac:dyDescent="0.25">
      <c r="A31">
        <v>2025</v>
      </c>
      <c r="B31" s="263">
        <v>1.0758410240009741</v>
      </c>
      <c r="C31" s="263"/>
      <c r="D31" s="263"/>
    </row>
    <row r="32" spans="1:4" x14ac:dyDescent="0.25">
      <c r="A32">
        <v>2026</v>
      </c>
      <c r="B32" s="263">
        <v>1.1027370496009985</v>
      </c>
      <c r="C32" s="263"/>
      <c r="D32" s="263"/>
    </row>
    <row r="33" spans="1:4" x14ac:dyDescent="0.25">
      <c r="A33">
        <v>2027</v>
      </c>
      <c r="B33" s="263">
        <v>1.1303054758410234</v>
      </c>
      <c r="C33" s="263"/>
      <c r="D33" s="263"/>
    </row>
    <row r="34" spans="1:4" x14ac:dyDescent="0.25">
      <c r="A34">
        <v>2028</v>
      </c>
      <c r="B34" s="263">
        <v>1.1585631127370488</v>
      </c>
      <c r="C34" s="263"/>
      <c r="D34" s="263"/>
    </row>
    <row r="35" spans="1:4" x14ac:dyDescent="0.25">
      <c r="A35">
        <v>2029</v>
      </c>
      <c r="B35" s="263">
        <v>1.187527190555475</v>
      </c>
      <c r="C35" s="263"/>
      <c r="D35" s="263"/>
    </row>
    <row r="36" spans="1:4" x14ac:dyDescent="0.25">
      <c r="A36">
        <v>2030</v>
      </c>
      <c r="B36" s="263">
        <v>1.2172153703193618</v>
      </c>
      <c r="C36" s="263"/>
      <c r="D36" s="263"/>
    </row>
    <row r="37" spans="1:4" x14ac:dyDescent="0.25">
      <c r="A37">
        <v>2031</v>
      </c>
      <c r="B37" s="263">
        <v>1.2476457545773456</v>
      </c>
      <c r="C37" s="263"/>
      <c r="D37" s="263"/>
    </row>
    <row r="38" spans="1:4" x14ac:dyDescent="0.25">
      <c r="A38">
        <v>2032</v>
      </c>
      <c r="B38" s="263">
        <v>1.2788368984417791</v>
      </c>
      <c r="C38" s="263"/>
      <c r="D38" s="263"/>
    </row>
    <row r="39" spans="1:4" x14ac:dyDescent="0.25">
      <c r="A39">
        <v>2033</v>
      </c>
      <c r="B39" s="263">
        <v>1.3108078209028233</v>
      </c>
      <c r="C39" s="263"/>
      <c r="D39" s="263"/>
    </row>
    <row r="40" spans="1:4" x14ac:dyDescent="0.25">
      <c r="A40">
        <v>2034</v>
      </c>
      <c r="B40" s="263">
        <v>1.3435780164253939</v>
      </c>
      <c r="C40" s="263"/>
      <c r="D40" s="263"/>
    </row>
    <row r="41" spans="1:4" x14ac:dyDescent="0.25">
      <c r="A41">
        <v>2035</v>
      </c>
      <c r="B41" s="263">
        <v>1.3771674668360285</v>
      </c>
      <c r="C41" s="263"/>
      <c r="D41" s="263"/>
    </row>
    <row r="42" spans="1:4" x14ac:dyDescent="0.25">
      <c r="A42">
        <v>2036</v>
      </c>
      <c r="B42" s="263">
        <v>1.4115966535069291</v>
      </c>
      <c r="C42" s="263"/>
      <c r="D42" s="263"/>
    </row>
    <row r="43" spans="1:4" x14ac:dyDescent="0.25">
      <c r="A43">
        <v>2037</v>
      </c>
      <c r="B43" s="263">
        <v>1.4468865698446023</v>
      </c>
      <c r="C43" s="263"/>
      <c r="D43" s="263"/>
    </row>
    <row r="44" spans="1:4" x14ac:dyDescent="0.25">
      <c r="A44">
        <v>2038</v>
      </c>
      <c r="B44" s="263">
        <v>1.4830587340907173</v>
      </c>
      <c r="C44" s="263"/>
      <c r="D44" s="263"/>
    </row>
    <row r="45" spans="1:4" x14ac:dyDescent="0.25">
      <c r="A45">
        <v>2039</v>
      </c>
      <c r="B45" s="263">
        <v>1.5201352024429851</v>
      </c>
      <c r="C45" s="263"/>
      <c r="D45" s="263"/>
    </row>
    <row r="46" spans="1:4" x14ac:dyDescent="0.25">
      <c r="A46">
        <v>2040</v>
      </c>
      <c r="B46" s="263">
        <v>1.5581385825040595</v>
      </c>
      <c r="C46" s="263"/>
      <c r="D46" s="263"/>
    </row>
    <row r="47" spans="1:4" x14ac:dyDescent="0.25">
      <c r="A47">
        <v>2041</v>
      </c>
      <c r="B47" s="263">
        <v>1.5970920470666607</v>
      </c>
      <c r="C47" s="263"/>
      <c r="D47" s="263"/>
    </row>
    <row r="48" spans="1:4" x14ac:dyDescent="0.25">
      <c r="A48">
        <v>2042</v>
      </c>
      <c r="B48" s="263">
        <v>1.6370193482433271</v>
      </c>
      <c r="C48" s="263"/>
      <c r="D48" s="263"/>
    </row>
    <row r="49" spans="1:4" x14ac:dyDescent="0.25">
      <c r="A49">
        <v>2043</v>
      </c>
      <c r="B49" s="263">
        <v>1.6779448319494101</v>
      </c>
      <c r="C49" s="263"/>
      <c r="D49" s="263"/>
    </row>
    <row r="50" spans="1:4" x14ac:dyDescent="0.25">
      <c r="A50">
        <v>2044</v>
      </c>
      <c r="B50" s="263">
        <v>1.7198934527481453</v>
      </c>
      <c r="C50" s="263"/>
      <c r="D50" s="263"/>
    </row>
    <row r="51" spans="1:4" x14ac:dyDescent="0.25">
      <c r="A51">
        <v>2045</v>
      </c>
      <c r="B51" s="263">
        <v>1.7628907890668488</v>
      </c>
      <c r="C51" s="263"/>
      <c r="D51" s="263"/>
    </row>
    <row r="52" spans="1:4" x14ac:dyDescent="0.25">
      <c r="A52">
        <v>2046</v>
      </c>
      <c r="B52" s="263">
        <v>1.8069630587935199</v>
      </c>
      <c r="C52" s="263"/>
      <c r="D52" s="263"/>
    </row>
    <row r="53" spans="1:4" x14ac:dyDescent="0.25">
      <c r="A53">
        <v>2047</v>
      </c>
      <c r="B53" s="263">
        <v>1.8521371352633578</v>
      </c>
      <c r="C53" s="263"/>
      <c r="D53" s="263"/>
    </row>
    <row r="54" spans="1:4" x14ac:dyDescent="0.25">
      <c r="A54">
        <v>2048</v>
      </c>
      <c r="B54" s="263">
        <v>1.8984405636449415</v>
      </c>
      <c r="C54" s="263"/>
      <c r="D54" s="263"/>
    </row>
    <row r="55" spans="1:4" x14ac:dyDescent="0.25">
      <c r="A55">
        <v>2049</v>
      </c>
      <c r="B55" s="263">
        <v>1.9459015777360649</v>
      </c>
      <c r="C55" s="263"/>
      <c r="D55" s="263"/>
    </row>
    <row r="56" spans="1:4" x14ac:dyDescent="0.25">
      <c r="A56">
        <v>2050</v>
      </c>
      <c r="B56" s="263">
        <v>1.9945491171794663</v>
      </c>
      <c r="C56" s="263"/>
      <c r="D56" s="263"/>
    </row>
    <row r="57" spans="1:4" x14ac:dyDescent="0.25">
      <c r="A57">
        <v>2051</v>
      </c>
      <c r="B57" s="263">
        <v>2.0444128451089529</v>
      </c>
      <c r="C57" s="263"/>
      <c r="D57" s="263"/>
    </row>
    <row r="58" spans="1:4" x14ac:dyDescent="0.25">
      <c r="A58">
        <v>2052</v>
      </c>
      <c r="B58" s="263">
        <v>2.0955231662366764</v>
      </c>
      <c r="C58" s="263"/>
      <c r="D58" s="263"/>
    </row>
    <row r="59" spans="1:4" x14ac:dyDescent="0.25">
      <c r="A59">
        <v>2053</v>
      </c>
      <c r="B59" s="263">
        <v>2.147911245392593</v>
      </c>
      <c r="C59" s="263"/>
      <c r="D59" s="263"/>
    </row>
    <row r="60" spans="1:4" x14ac:dyDescent="0.25">
      <c r="A60">
        <v>2054</v>
      </c>
      <c r="B60" s="263">
        <v>2.2016090265274078</v>
      </c>
      <c r="C60" s="263"/>
      <c r="D60" s="263"/>
    </row>
    <row r="61" spans="1:4" x14ac:dyDescent="0.25">
      <c r="A61">
        <v>2055</v>
      </c>
      <c r="B61" s="263">
        <v>2.2566492521905928</v>
      </c>
      <c r="C61" s="263"/>
      <c r="D61" s="263"/>
    </row>
    <row r="62" spans="1:4" x14ac:dyDescent="0.25">
      <c r="A62">
        <v>2056</v>
      </c>
      <c r="B62" s="263">
        <v>2.3130654834953575</v>
      </c>
      <c r="C62" s="263"/>
      <c r="D62" s="263"/>
    </row>
    <row r="63" spans="1:4" x14ac:dyDescent="0.25">
      <c r="A63">
        <v>2057</v>
      </c>
      <c r="B63" s="263">
        <v>2.3708921205827411</v>
      </c>
      <c r="C63" s="263"/>
      <c r="D63" s="263"/>
    </row>
    <row r="64" spans="1:4" x14ac:dyDescent="0.25">
      <c r="A64">
        <v>2058</v>
      </c>
      <c r="B64" s="263">
        <v>2.4301644235973097</v>
      </c>
      <c r="C64" s="263"/>
      <c r="D64" s="263"/>
    </row>
    <row r="65" spans="1:4" x14ac:dyDescent="0.25">
      <c r="A65">
        <v>2059</v>
      </c>
      <c r="B65" s="263">
        <v>2.4909185341872422</v>
      </c>
      <c r="C65" s="263"/>
      <c r="D65" s="263"/>
    </row>
    <row r="66" spans="1:4" x14ac:dyDescent="0.25">
      <c r="A66">
        <v>2060</v>
      </c>
      <c r="B66" s="263">
        <v>2.5531914975419232</v>
      </c>
      <c r="C66" s="263"/>
      <c r="D66" s="26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
  <sheetViews>
    <sheetView workbookViewId="0">
      <selection activeCell="R43" sqref="R43"/>
    </sheetView>
  </sheetViews>
  <sheetFormatPr defaultRowHeight="1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sheetPr>
  <dimension ref="A1:U46"/>
  <sheetViews>
    <sheetView showGridLines="0" topLeftCell="B4" zoomScale="137" zoomScaleNormal="115" workbookViewId="0">
      <selection activeCell="B21" sqref="B21"/>
    </sheetView>
  </sheetViews>
  <sheetFormatPr defaultColWidth="9" defaultRowHeight="11.5" x14ac:dyDescent="0.25"/>
  <cols>
    <col min="1" max="1" width="13.59765625" bestFit="1" customWidth="1"/>
    <col min="2" max="2" width="165.59765625" bestFit="1" customWidth="1"/>
  </cols>
  <sheetData>
    <row r="1" spans="1:20" s="2" customFormat="1" ht="28.5" thickBot="1" x14ac:dyDescent="0.3">
      <c r="A1" s="2" t="s">
        <v>0</v>
      </c>
    </row>
    <row r="2" spans="1:20" s="8" customFormat="1" ht="12" x14ac:dyDescent="0.25">
      <c r="A2" s="83" t="s">
        <v>1</v>
      </c>
      <c r="B2" s="83">
        <v>6</v>
      </c>
    </row>
    <row r="3" spans="1:20" s="8" customFormat="1" ht="12" x14ac:dyDescent="0.25">
      <c r="A3" s="83" t="s">
        <v>2</v>
      </c>
      <c r="B3" s="84">
        <v>44286</v>
      </c>
    </row>
    <row r="4" spans="1:20" s="8" customFormat="1" x14ac:dyDescent="0.25"/>
    <row r="5" spans="1:20" ht="18.5" thickBot="1" x14ac:dyDescent="0.3">
      <c r="A5" s="1" t="s">
        <v>3</v>
      </c>
      <c r="B5" s="1"/>
      <c r="C5" s="1"/>
      <c r="D5" s="1"/>
      <c r="E5" s="1"/>
      <c r="F5" s="1"/>
      <c r="G5" s="1"/>
      <c r="H5" s="1"/>
      <c r="I5" s="1"/>
      <c r="J5" s="1"/>
      <c r="K5" s="1"/>
      <c r="L5" s="1"/>
      <c r="M5" s="1"/>
      <c r="N5" s="1"/>
      <c r="O5" s="1"/>
      <c r="P5" s="1"/>
      <c r="Q5" s="1"/>
      <c r="R5" s="1"/>
      <c r="S5" s="1"/>
      <c r="T5" s="1"/>
    </row>
    <row r="7" spans="1:20" ht="17" thickBot="1" x14ac:dyDescent="0.3">
      <c r="A7" s="8"/>
      <c r="B7" s="130" t="s">
        <v>4</v>
      </c>
      <c r="C7" s="130"/>
      <c r="D7" s="130"/>
      <c r="E7" s="130"/>
      <c r="F7" s="130"/>
      <c r="G7" s="130"/>
      <c r="H7" s="130"/>
      <c r="I7" s="130"/>
      <c r="J7" s="130"/>
      <c r="K7" s="130"/>
      <c r="L7" s="130"/>
      <c r="M7" s="130"/>
      <c r="N7" s="130"/>
      <c r="O7" s="130"/>
      <c r="P7" s="130"/>
      <c r="Q7" s="130"/>
      <c r="R7" s="130"/>
      <c r="S7" s="130"/>
      <c r="T7" s="130"/>
    </row>
    <row r="9" spans="1:20" s="8" customFormat="1" x14ac:dyDescent="0.25">
      <c r="B9" s="8" t="s">
        <v>5</v>
      </c>
    </row>
    <row r="10" spans="1:20" x14ac:dyDescent="0.25">
      <c r="A10" s="8"/>
      <c r="B10" s="85" t="s">
        <v>6</v>
      </c>
      <c r="C10" s="8"/>
      <c r="D10" s="8"/>
      <c r="E10" s="8"/>
      <c r="F10" s="8"/>
      <c r="G10" s="8"/>
      <c r="H10" s="8"/>
      <c r="I10" s="8"/>
      <c r="J10" s="8"/>
      <c r="K10" s="8"/>
      <c r="L10" s="8"/>
      <c r="M10" s="8"/>
      <c r="N10" s="8"/>
      <c r="O10" s="8"/>
      <c r="P10" s="8"/>
      <c r="Q10" s="8"/>
      <c r="R10" s="8"/>
      <c r="S10" s="8"/>
      <c r="T10" s="8"/>
    </row>
    <row r="11" spans="1:20" x14ac:dyDescent="0.25">
      <c r="A11" s="8"/>
      <c r="B11" s="85" t="s">
        <v>7</v>
      </c>
      <c r="C11" s="8"/>
      <c r="D11" s="8"/>
      <c r="E11" s="8"/>
      <c r="F11" s="8"/>
      <c r="G11" s="8"/>
      <c r="H11" s="8"/>
      <c r="I11" s="8"/>
      <c r="J11" s="8"/>
      <c r="K11" s="8"/>
      <c r="L11" s="8"/>
      <c r="M11" s="8"/>
      <c r="N11" s="8"/>
      <c r="O11" s="8"/>
      <c r="P11" s="8"/>
      <c r="Q11" s="8"/>
      <c r="R11" s="8"/>
      <c r="S11" s="8"/>
      <c r="T11" s="8"/>
    </row>
    <row r="12" spans="1:20" x14ac:dyDescent="0.25">
      <c r="A12" s="8"/>
      <c r="B12" s="85" t="s">
        <v>8</v>
      </c>
      <c r="C12" s="8"/>
      <c r="D12" s="8"/>
      <c r="E12" s="8"/>
      <c r="F12" s="8"/>
      <c r="G12" s="8"/>
      <c r="H12" s="8"/>
      <c r="I12" s="8"/>
      <c r="J12" s="8"/>
      <c r="K12" s="8"/>
      <c r="L12" s="8"/>
      <c r="M12" s="8"/>
      <c r="N12" s="8"/>
      <c r="O12" s="8"/>
      <c r="P12" s="8"/>
      <c r="Q12" s="8"/>
      <c r="R12" s="8"/>
      <c r="S12" s="8"/>
      <c r="T12" s="8"/>
    </row>
    <row r="13" spans="1:20" s="8" customFormat="1" x14ac:dyDescent="0.25">
      <c r="B13" s="85"/>
    </row>
    <row r="14" spans="1:20" s="87" customFormat="1" ht="17" thickBot="1" x14ac:dyDescent="0.3">
      <c r="A14" s="8"/>
      <c r="B14" s="130" t="s">
        <v>9</v>
      </c>
      <c r="C14" s="130"/>
      <c r="D14" s="130"/>
      <c r="E14" s="130"/>
      <c r="F14" s="130"/>
      <c r="G14" s="130"/>
      <c r="H14" s="130"/>
      <c r="I14" s="130"/>
      <c r="J14" s="130"/>
      <c r="K14" s="130"/>
      <c r="L14" s="130"/>
      <c r="M14" s="130"/>
      <c r="N14" s="130"/>
      <c r="O14" s="130"/>
      <c r="P14" s="130"/>
      <c r="Q14" s="130"/>
      <c r="R14" s="130"/>
      <c r="S14" s="130"/>
      <c r="T14" s="130"/>
    </row>
    <row r="16" spans="1:20" x14ac:dyDescent="0.25">
      <c r="A16" s="8"/>
      <c r="B16" s="86" t="s">
        <v>10</v>
      </c>
      <c r="C16" s="8"/>
      <c r="D16" s="8"/>
      <c r="E16" s="8"/>
      <c r="F16" s="8"/>
      <c r="G16" s="8"/>
      <c r="H16" s="8"/>
      <c r="I16" s="8"/>
      <c r="J16" s="8"/>
      <c r="K16" s="8"/>
      <c r="L16" s="8"/>
      <c r="M16" s="8"/>
      <c r="N16" s="8"/>
      <c r="O16" s="8"/>
      <c r="P16" s="8"/>
      <c r="Q16" s="8"/>
      <c r="R16" s="8"/>
      <c r="S16" s="8"/>
      <c r="T16" s="8"/>
    </row>
    <row r="17" spans="1:21" x14ac:dyDescent="0.25">
      <c r="A17" s="8"/>
      <c r="B17" s="85" t="s">
        <v>11</v>
      </c>
      <c r="C17" s="8"/>
      <c r="D17" s="8"/>
      <c r="E17" s="8"/>
      <c r="F17" s="8"/>
      <c r="G17" s="8"/>
      <c r="H17" s="8"/>
      <c r="I17" s="8"/>
      <c r="J17" s="8"/>
      <c r="K17" s="8"/>
      <c r="L17" s="8"/>
      <c r="M17" s="8"/>
      <c r="N17" s="8"/>
      <c r="O17" s="8"/>
      <c r="P17" s="8"/>
      <c r="Q17" s="8"/>
      <c r="R17" s="8"/>
      <c r="S17" s="8"/>
      <c r="T17" s="8"/>
      <c r="U17" s="8"/>
    </row>
    <row r="18" spans="1:21" x14ac:dyDescent="0.25">
      <c r="A18" s="8"/>
      <c r="B18" s="85" t="s">
        <v>12</v>
      </c>
      <c r="C18" s="8"/>
      <c r="D18" s="8"/>
      <c r="E18" s="8"/>
      <c r="F18" s="8"/>
      <c r="G18" s="8"/>
      <c r="H18" s="8"/>
      <c r="I18" s="8"/>
      <c r="J18" s="8"/>
      <c r="K18" s="8"/>
      <c r="L18" s="8"/>
      <c r="M18" s="8"/>
      <c r="N18" s="8"/>
      <c r="O18" s="8"/>
      <c r="P18" s="8"/>
      <c r="Q18" s="8"/>
      <c r="R18" s="8"/>
      <c r="S18" s="8"/>
      <c r="T18" s="8"/>
      <c r="U18" s="8"/>
    </row>
    <row r="19" spans="1:21" x14ac:dyDescent="0.25">
      <c r="A19" s="8"/>
      <c r="B19" s="85" t="s">
        <v>13</v>
      </c>
      <c r="C19" s="8"/>
      <c r="D19" s="8"/>
      <c r="E19" s="8"/>
      <c r="F19" s="8"/>
      <c r="G19" s="8"/>
      <c r="H19" s="8"/>
      <c r="I19" s="8"/>
      <c r="J19" s="8"/>
      <c r="K19" s="8"/>
      <c r="L19" s="8"/>
      <c r="M19" s="8"/>
      <c r="N19" s="8"/>
      <c r="O19" s="8"/>
      <c r="P19" s="8"/>
      <c r="Q19" s="8"/>
      <c r="R19" s="8"/>
      <c r="S19" s="8"/>
      <c r="T19" s="8"/>
      <c r="U19" s="8"/>
    </row>
    <row r="20" spans="1:21" x14ac:dyDescent="0.25">
      <c r="A20" s="8"/>
      <c r="B20" s="85" t="s">
        <v>14</v>
      </c>
      <c r="C20" s="8"/>
      <c r="D20" s="8"/>
      <c r="E20" s="8"/>
      <c r="F20" s="8"/>
      <c r="G20" s="8"/>
      <c r="H20" s="8"/>
      <c r="I20" s="8"/>
      <c r="J20" s="8"/>
      <c r="K20" s="8"/>
      <c r="L20" s="8"/>
      <c r="M20" s="8"/>
      <c r="N20" s="8"/>
      <c r="O20" s="8"/>
      <c r="P20" s="8"/>
      <c r="Q20" s="8"/>
      <c r="R20" s="8"/>
      <c r="S20" s="8"/>
      <c r="T20" s="8"/>
      <c r="U20" s="8"/>
    </row>
    <row r="21" spans="1:21" x14ac:dyDescent="0.25">
      <c r="A21" s="8"/>
      <c r="B21" s="85" t="s">
        <v>15</v>
      </c>
      <c r="C21" s="8"/>
      <c r="D21" s="8"/>
      <c r="E21" s="8"/>
      <c r="F21" s="8"/>
      <c r="G21" s="8"/>
      <c r="H21" s="8"/>
      <c r="I21" s="8"/>
      <c r="J21" s="8"/>
      <c r="K21" s="8"/>
      <c r="L21" s="8"/>
      <c r="M21" s="8"/>
      <c r="N21" s="8"/>
      <c r="O21" s="8"/>
      <c r="P21" s="8"/>
      <c r="Q21" s="8"/>
      <c r="R21" s="8"/>
      <c r="S21" s="8"/>
      <c r="T21" s="8"/>
      <c r="U21" s="8"/>
    </row>
    <row r="22" spans="1:21" x14ac:dyDescent="0.25">
      <c r="A22" s="8"/>
      <c r="B22" s="86" t="s">
        <v>16</v>
      </c>
      <c r="C22" s="8"/>
      <c r="D22" s="8"/>
      <c r="E22" s="8"/>
      <c r="F22" s="8"/>
      <c r="G22" s="8"/>
      <c r="H22" s="8"/>
      <c r="I22" s="8"/>
      <c r="J22" s="8"/>
      <c r="K22" s="8"/>
      <c r="L22" s="8"/>
      <c r="M22" s="8"/>
      <c r="N22" s="8"/>
      <c r="O22" s="8"/>
      <c r="P22" s="8"/>
      <c r="Q22" s="8"/>
      <c r="R22" s="8"/>
      <c r="S22" s="8"/>
      <c r="T22" s="8"/>
      <c r="U22" s="8"/>
    </row>
    <row r="23" spans="1:21" x14ac:dyDescent="0.25">
      <c r="A23" s="8"/>
      <c r="B23" s="86" t="s">
        <v>17</v>
      </c>
      <c r="C23" s="8"/>
      <c r="D23" s="8"/>
      <c r="E23" s="8"/>
      <c r="F23" s="8"/>
      <c r="G23" s="8"/>
      <c r="H23" s="8"/>
      <c r="I23" s="8"/>
      <c r="J23" s="8"/>
      <c r="K23" s="8"/>
      <c r="L23" s="8"/>
      <c r="M23" s="8"/>
      <c r="N23" s="8"/>
      <c r="O23" s="8"/>
      <c r="P23" s="8"/>
      <c r="Q23" s="8"/>
      <c r="R23" s="8"/>
      <c r="S23" s="8"/>
      <c r="T23" s="8"/>
      <c r="U23" s="8"/>
    </row>
    <row r="24" spans="1:21" s="8" customFormat="1" x14ac:dyDescent="0.25">
      <c r="B24" s="86"/>
    </row>
    <row r="25" spans="1:21" s="87" customFormat="1" ht="17" thickBot="1" x14ac:dyDescent="0.3">
      <c r="A25" s="8"/>
      <c r="B25" s="130" t="s">
        <v>18</v>
      </c>
      <c r="C25" s="130"/>
      <c r="D25" s="130"/>
      <c r="E25" s="130"/>
      <c r="F25" s="130"/>
      <c r="G25" s="130"/>
      <c r="H25" s="130"/>
      <c r="I25" s="130"/>
      <c r="J25" s="130"/>
      <c r="K25" s="130"/>
      <c r="L25" s="130"/>
      <c r="M25" s="130"/>
      <c r="N25" s="130"/>
      <c r="O25" s="130"/>
      <c r="P25" s="130"/>
      <c r="Q25" s="130"/>
      <c r="R25" s="130"/>
      <c r="S25" s="130"/>
      <c r="T25" s="130"/>
    </row>
    <row r="27" spans="1:21" x14ac:dyDescent="0.25">
      <c r="A27" s="8"/>
      <c r="B27" s="149" t="s">
        <v>19</v>
      </c>
      <c r="C27" s="8"/>
      <c r="D27" s="8"/>
      <c r="E27" s="8"/>
      <c r="F27" s="8"/>
      <c r="G27" s="8"/>
      <c r="H27" s="8"/>
      <c r="I27" s="8"/>
      <c r="J27" s="8"/>
      <c r="K27" s="8"/>
      <c r="L27" s="8"/>
      <c r="M27" s="8"/>
      <c r="N27" s="8"/>
      <c r="O27" s="8"/>
      <c r="P27" s="8"/>
      <c r="Q27" s="8"/>
      <c r="R27" s="8"/>
      <c r="S27" s="8"/>
      <c r="T27" s="8"/>
      <c r="U27" s="8"/>
    </row>
    <row r="28" spans="1:21" x14ac:dyDescent="0.25">
      <c r="A28" s="8"/>
      <c r="B28" s="150" t="s">
        <v>20</v>
      </c>
      <c r="C28" s="8"/>
      <c r="D28" s="8"/>
      <c r="E28" s="8"/>
      <c r="F28" s="8"/>
      <c r="G28" s="8"/>
      <c r="H28" s="8"/>
      <c r="I28" s="8"/>
      <c r="J28" s="8"/>
      <c r="K28" s="8"/>
      <c r="L28" s="8"/>
      <c r="M28" s="8"/>
      <c r="N28" s="8"/>
      <c r="O28" s="8"/>
      <c r="P28" s="8"/>
      <c r="Q28" s="8"/>
      <c r="R28" s="8"/>
      <c r="S28" s="8"/>
      <c r="T28" s="8"/>
      <c r="U28" s="8"/>
    </row>
    <row r="29" spans="1:21" x14ac:dyDescent="0.25">
      <c r="A29" s="8"/>
      <c r="B29" s="151" t="s">
        <v>21</v>
      </c>
      <c r="C29" s="8"/>
      <c r="D29" s="8"/>
      <c r="E29" s="8"/>
      <c r="F29" s="8"/>
      <c r="G29" s="8"/>
      <c r="H29" s="8"/>
      <c r="I29" s="8"/>
      <c r="J29" s="8"/>
      <c r="K29" s="8"/>
      <c r="L29" s="8"/>
      <c r="M29" s="8"/>
      <c r="N29" s="8"/>
      <c r="O29" s="8"/>
      <c r="P29" s="8"/>
      <c r="Q29" s="8"/>
      <c r="R29" s="8"/>
      <c r="S29" s="8"/>
      <c r="T29" s="8"/>
      <c r="U29" s="8"/>
    </row>
    <row r="30" spans="1:21" s="8" customFormat="1" x14ac:dyDescent="0.25">
      <c r="B30" s="8" t="s">
        <v>22</v>
      </c>
    </row>
    <row r="31" spans="1:21" s="87" customFormat="1" x14ac:dyDescent="0.25">
      <c r="A31" s="8"/>
      <c r="B31" s="8" t="s">
        <v>23</v>
      </c>
      <c r="C31" s="8"/>
      <c r="D31" s="8"/>
      <c r="E31" s="8"/>
      <c r="F31" s="8"/>
      <c r="G31" s="8"/>
      <c r="H31" s="8"/>
      <c r="I31" s="8"/>
      <c r="J31" s="8"/>
      <c r="K31" s="8"/>
      <c r="L31" s="8"/>
      <c r="M31" s="8"/>
      <c r="N31" s="8"/>
      <c r="O31" s="8"/>
      <c r="P31" s="8"/>
      <c r="Q31" s="8"/>
      <c r="R31" s="8"/>
      <c r="S31" s="8"/>
      <c r="T31" s="8"/>
      <c r="U31" s="8"/>
    </row>
    <row r="32" spans="1:21" x14ac:dyDescent="0.25">
      <c r="A32" s="8"/>
      <c r="B32" s="8"/>
      <c r="C32" s="8"/>
      <c r="D32" s="8"/>
      <c r="E32" s="8"/>
      <c r="F32" s="8"/>
      <c r="G32" s="8"/>
      <c r="H32" s="8"/>
      <c r="I32" s="8"/>
      <c r="J32" s="8"/>
      <c r="K32" s="8"/>
      <c r="L32" s="8"/>
      <c r="M32" s="8"/>
      <c r="N32" s="8"/>
      <c r="O32" s="8"/>
      <c r="P32" s="8"/>
      <c r="Q32" s="8"/>
      <c r="R32" s="8"/>
      <c r="S32" s="8"/>
      <c r="T32" s="8"/>
      <c r="U32" s="8"/>
    </row>
    <row r="33" spans="1:2" x14ac:dyDescent="0.25">
      <c r="A33" s="8"/>
      <c r="B33" s="8"/>
    </row>
    <row r="34" spans="1:2" x14ac:dyDescent="0.25">
      <c r="A34" s="8"/>
      <c r="B34" s="85"/>
    </row>
    <row r="35" spans="1:2" x14ac:dyDescent="0.25">
      <c r="A35" s="8"/>
      <c r="B35" s="89"/>
    </row>
    <row r="36" spans="1:2" x14ac:dyDescent="0.25">
      <c r="A36" s="8"/>
      <c r="B36" s="89"/>
    </row>
    <row r="37" spans="1:2" x14ac:dyDescent="0.25">
      <c r="A37" s="8"/>
      <c r="B37" s="89"/>
    </row>
    <row r="38" spans="1:2" x14ac:dyDescent="0.25">
      <c r="A38" s="8"/>
      <c r="B38" s="89"/>
    </row>
    <row r="39" spans="1:2" x14ac:dyDescent="0.25">
      <c r="A39" s="8"/>
      <c r="B39" s="88"/>
    </row>
    <row r="40" spans="1:2" x14ac:dyDescent="0.25">
      <c r="A40" s="8"/>
      <c r="B40" s="88"/>
    </row>
    <row r="41" spans="1:2" s="8" customFormat="1" x14ac:dyDescent="0.25">
      <c r="B41" s="88"/>
    </row>
    <row r="42" spans="1:2" s="8" customFormat="1" x14ac:dyDescent="0.25">
      <c r="B42" s="90"/>
    </row>
    <row r="43" spans="1:2" x14ac:dyDescent="0.25">
      <c r="A43" s="8"/>
      <c r="B43" s="85"/>
    </row>
    <row r="44" spans="1:2" x14ac:dyDescent="0.25">
      <c r="A44" s="8"/>
      <c r="B44" s="88"/>
    </row>
    <row r="45" spans="1:2" x14ac:dyDescent="0.25">
      <c r="A45" s="8"/>
      <c r="B45" s="88"/>
    </row>
    <row r="46" spans="1:2" x14ac:dyDescent="0.25">
      <c r="A46" s="8"/>
      <c r="B46" s="90"/>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7" tint="0.39997558519241921"/>
    <pageSetUpPr autoPageBreaks="0"/>
  </sheetPr>
  <dimension ref="A1:AB132"/>
  <sheetViews>
    <sheetView showGridLines="0" zoomScale="120" zoomScaleNormal="120" workbookViewId="0">
      <pane xSplit="3" ySplit="6" topLeftCell="D7" activePane="bottomRight" state="frozen"/>
      <selection pane="topRight" activeCell="D1" sqref="D1"/>
      <selection pane="bottomLeft" activeCell="A7" sqref="A7"/>
      <selection pane="bottomRight" activeCell="D16" sqref="D16"/>
    </sheetView>
  </sheetViews>
  <sheetFormatPr defaultColWidth="9" defaultRowHeight="11.5" outlineLevelRow="1" x14ac:dyDescent="0.25"/>
  <cols>
    <col min="1" max="1" width="6" style="8" customWidth="1"/>
    <col min="2" max="2" width="6" customWidth="1"/>
    <col min="3" max="3" width="60.296875" style="157" customWidth="1"/>
    <col min="4" max="10" width="31.59765625" style="98" customWidth="1"/>
    <col min="11" max="11" width="2.8984375" style="8" customWidth="1"/>
    <col min="12" max="18" width="31.59765625" style="98" customWidth="1"/>
    <col min="19" max="19" width="7.8984375" style="98" customWidth="1"/>
    <col min="20" max="26" width="31.59765625" style="98" customWidth="1"/>
    <col min="27" max="27" width="11" customWidth="1"/>
    <col min="28" max="28" width="255.8984375" style="194" customWidth="1"/>
  </cols>
  <sheetData>
    <row r="1" spans="1:28" s="2" customFormat="1" ht="28.5" thickBot="1" x14ac:dyDescent="0.3">
      <c r="A1" s="2" t="s">
        <v>24</v>
      </c>
      <c r="C1" s="156"/>
      <c r="D1" s="115"/>
      <c r="E1" s="115"/>
      <c r="F1" s="115"/>
      <c r="G1" s="115"/>
      <c r="H1" s="115"/>
      <c r="I1" s="115"/>
      <c r="J1" s="115"/>
      <c r="L1" s="115"/>
      <c r="M1" s="115"/>
      <c r="N1" s="115"/>
      <c r="O1" s="115"/>
      <c r="P1" s="115"/>
      <c r="Q1" s="115"/>
      <c r="R1" s="115"/>
      <c r="S1" s="98"/>
      <c r="T1" s="115"/>
      <c r="U1" s="115"/>
      <c r="V1" s="115"/>
      <c r="W1" s="115"/>
      <c r="X1" s="115"/>
      <c r="Y1" s="115"/>
      <c r="Z1" s="115"/>
      <c r="AB1" s="193"/>
    </row>
    <row r="2" spans="1:28" s="8" customFormat="1" x14ac:dyDescent="0.25">
      <c r="C2" s="157"/>
      <c r="D2" s="98"/>
      <c r="E2" s="98"/>
      <c r="F2" s="98"/>
      <c r="G2" s="98"/>
      <c r="H2" s="98"/>
      <c r="I2" s="98"/>
      <c r="J2" s="98"/>
      <c r="L2" s="98"/>
      <c r="M2" s="98"/>
      <c r="N2" s="98"/>
      <c r="O2" s="98"/>
      <c r="P2" s="98"/>
      <c r="Q2" s="98"/>
      <c r="R2" s="98"/>
      <c r="S2" s="98"/>
      <c r="T2" s="98"/>
      <c r="U2" s="98"/>
      <c r="V2" s="98"/>
      <c r="W2" s="98"/>
      <c r="X2" s="98"/>
      <c r="Y2" s="98"/>
      <c r="Z2" s="98"/>
      <c r="AB2" s="194"/>
    </row>
    <row r="3" spans="1:28" s="8" customFormat="1" x14ac:dyDescent="0.25">
      <c r="C3" s="157"/>
      <c r="D3" s="98"/>
      <c r="E3" s="98"/>
      <c r="F3" s="98"/>
      <c r="G3" s="98"/>
      <c r="H3" s="98"/>
      <c r="I3" s="98"/>
      <c r="J3" s="98"/>
      <c r="L3" s="98"/>
      <c r="M3" s="98"/>
      <c r="N3" s="98"/>
      <c r="O3" s="98"/>
      <c r="P3" s="98"/>
      <c r="Q3" s="98"/>
      <c r="R3" s="98"/>
      <c r="S3" s="98"/>
      <c r="T3" s="98"/>
      <c r="U3" s="98"/>
      <c r="V3" s="98"/>
      <c r="W3" s="98"/>
      <c r="X3" s="98"/>
      <c r="Y3" s="98"/>
      <c r="Z3" s="98"/>
      <c r="AB3" s="194"/>
    </row>
    <row r="4" spans="1:28" s="8" customFormat="1" x14ac:dyDescent="0.25">
      <c r="C4" s="157"/>
      <c r="D4" s="98"/>
      <c r="E4" s="98"/>
      <c r="F4" s="98"/>
      <c r="G4" s="98"/>
      <c r="H4" s="98"/>
      <c r="I4" s="98"/>
      <c r="J4" s="98"/>
      <c r="L4" s="98"/>
      <c r="M4" s="98"/>
      <c r="N4" s="98"/>
      <c r="O4" s="98"/>
      <c r="P4" s="98"/>
      <c r="Q4" s="98"/>
      <c r="R4" s="98"/>
      <c r="S4" s="98"/>
      <c r="T4" s="98"/>
      <c r="U4" s="98"/>
      <c r="V4" s="98"/>
      <c r="W4" s="98"/>
      <c r="X4" s="98"/>
      <c r="Y4" s="98"/>
      <c r="Z4" s="98"/>
      <c r="AB4" s="194"/>
    </row>
    <row r="5" spans="1:28" s="8" customFormat="1" ht="18.5" thickBot="1" x14ac:dyDescent="0.3">
      <c r="C5" s="158" t="s">
        <v>25</v>
      </c>
      <c r="D5" s="99"/>
      <c r="E5" s="99"/>
      <c r="F5" s="99"/>
      <c r="G5" s="99"/>
      <c r="H5" s="99"/>
      <c r="I5" s="99"/>
      <c r="J5" s="99"/>
      <c r="L5" s="102"/>
      <c r="M5" s="102"/>
      <c r="N5" s="102"/>
      <c r="O5" s="102"/>
      <c r="P5" s="102"/>
      <c r="Q5" s="102"/>
      <c r="R5" s="102"/>
      <c r="S5" s="98"/>
      <c r="T5" s="99"/>
      <c r="U5" s="99"/>
      <c r="V5" s="99"/>
      <c r="W5" s="99"/>
      <c r="X5" s="99"/>
      <c r="Y5" s="99"/>
      <c r="Z5" s="99"/>
      <c r="AB5" s="158" t="s">
        <v>26</v>
      </c>
    </row>
    <row r="6" spans="1:28" s="8" customFormat="1" x14ac:dyDescent="0.25">
      <c r="C6" s="157"/>
      <c r="D6" s="98"/>
      <c r="E6" s="98"/>
      <c r="F6" s="98"/>
      <c r="G6" s="98"/>
      <c r="H6" s="98"/>
      <c r="I6" s="98"/>
      <c r="J6" s="98"/>
      <c r="L6" s="98"/>
      <c r="M6" s="98"/>
      <c r="N6" s="98"/>
      <c r="O6" s="98"/>
      <c r="P6" s="98"/>
      <c r="Q6" s="98"/>
      <c r="R6" s="98"/>
      <c r="S6" s="98"/>
      <c r="T6" s="98"/>
      <c r="U6" s="98"/>
      <c r="V6" s="98"/>
      <c r="W6" s="98"/>
      <c r="X6" s="98"/>
      <c r="Y6" s="98"/>
      <c r="Z6" s="98"/>
      <c r="AB6" s="194"/>
    </row>
    <row r="7" spans="1:28" ht="23" x14ac:dyDescent="0.25">
      <c r="B7" s="8"/>
      <c r="C7" s="159" t="s">
        <v>27</v>
      </c>
      <c r="D7" s="114" t="s">
        <v>28</v>
      </c>
      <c r="E7" s="114" t="s">
        <v>28</v>
      </c>
      <c r="F7" s="114" t="s">
        <v>28</v>
      </c>
      <c r="G7" s="114" t="s">
        <v>28</v>
      </c>
      <c r="H7" s="114" t="s">
        <v>28</v>
      </c>
      <c r="I7" s="114" t="s">
        <v>28</v>
      </c>
      <c r="J7" s="114" t="s">
        <v>28</v>
      </c>
      <c r="K7" s="28"/>
      <c r="L7" s="114" t="s">
        <v>29</v>
      </c>
      <c r="M7" s="114" t="s">
        <v>29</v>
      </c>
      <c r="N7" s="114" t="s">
        <v>29</v>
      </c>
      <c r="O7" s="114" t="s">
        <v>29</v>
      </c>
      <c r="P7" s="114" t="s">
        <v>29</v>
      </c>
      <c r="Q7" s="114" t="s">
        <v>29</v>
      </c>
      <c r="R7" s="114" t="s">
        <v>29</v>
      </c>
      <c r="T7" s="114" t="s">
        <v>30</v>
      </c>
      <c r="U7" s="114" t="s">
        <v>30</v>
      </c>
      <c r="V7" s="114" t="s">
        <v>30</v>
      </c>
      <c r="W7" s="114" t="s">
        <v>30</v>
      </c>
      <c r="X7" s="114" t="s">
        <v>30</v>
      </c>
      <c r="Y7" s="114" t="s">
        <v>30</v>
      </c>
      <c r="Z7" s="114" t="s">
        <v>30</v>
      </c>
      <c r="AA7" s="28"/>
      <c r="AB7" s="195" t="s">
        <v>31</v>
      </c>
    </row>
    <row r="8" spans="1:28" s="16" customFormat="1" ht="14" x14ac:dyDescent="0.25">
      <c r="A8" s="8"/>
      <c r="C8" s="160"/>
      <c r="D8" s="100"/>
      <c r="E8" s="100"/>
      <c r="F8" s="100"/>
      <c r="G8" s="100"/>
      <c r="H8" s="100"/>
      <c r="I8" s="100"/>
      <c r="J8" s="100"/>
      <c r="L8" s="100"/>
      <c r="M8" s="100"/>
      <c r="N8" s="100"/>
      <c r="O8" s="100"/>
      <c r="P8" s="100"/>
      <c r="Q8" s="100"/>
      <c r="R8" s="100"/>
      <c r="S8" s="98"/>
      <c r="T8" s="100"/>
      <c r="U8" s="100"/>
      <c r="V8" s="100"/>
      <c r="W8" s="100"/>
      <c r="X8" s="100"/>
      <c r="Y8" s="100"/>
      <c r="Z8" s="100"/>
      <c r="AB8" s="196"/>
    </row>
    <row r="9" spans="1:28" s="1" customFormat="1" ht="18.5" thickBot="1" x14ac:dyDescent="0.3">
      <c r="A9" s="1" t="s">
        <v>32</v>
      </c>
      <c r="C9" s="158"/>
      <c r="D9" s="99"/>
      <c r="E9" s="99"/>
      <c r="F9" s="99"/>
      <c r="G9" s="99"/>
      <c r="H9" s="99"/>
      <c r="I9" s="99"/>
      <c r="J9" s="99"/>
      <c r="L9" s="99"/>
      <c r="M9" s="99"/>
      <c r="N9" s="99"/>
      <c r="O9" s="99"/>
      <c r="P9" s="99"/>
      <c r="Q9" s="99"/>
      <c r="R9" s="99"/>
      <c r="S9" s="98"/>
      <c r="T9" s="99"/>
      <c r="U9" s="99"/>
      <c r="V9" s="99"/>
      <c r="W9" s="99"/>
      <c r="X9" s="99"/>
      <c r="Y9" s="99"/>
      <c r="Z9" s="99"/>
      <c r="AB9" s="197"/>
    </row>
    <row r="11" spans="1:28" s="16" customFormat="1" ht="14" x14ac:dyDescent="0.25">
      <c r="A11" s="8"/>
      <c r="C11" s="159" t="s">
        <v>33</v>
      </c>
      <c r="D11" s="103">
        <v>2020</v>
      </c>
      <c r="E11" s="103">
        <f>D11+5</f>
        <v>2025</v>
      </c>
      <c r="F11" s="103">
        <f t="shared" ref="F11:J11" si="0">E11+5</f>
        <v>2030</v>
      </c>
      <c r="G11" s="103">
        <f t="shared" si="0"/>
        <v>2035</v>
      </c>
      <c r="H11" s="103">
        <f t="shared" si="0"/>
        <v>2040</v>
      </c>
      <c r="I11" s="103">
        <f t="shared" si="0"/>
        <v>2045</v>
      </c>
      <c r="J11" s="103">
        <f t="shared" si="0"/>
        <v>2050</v>
      </c>
      <c r="L11" s="103">
        <v>2020</v>
      </c>
      <c r="M11" s="103">
        <f>L11+5</f>
        <v>2025</v>
      </c>
      <c r="N11" s="103">
        <f t="shared" ref="N11:R11" si="1">M11+5</f>
        <v>2030</v>
      </c>
      <c r="O11" s="103">
        <f t="shared" si="1"/>
        <v>2035</v>
      </c>
      <c r="P11" s="103">
        <f t="shared" si="1"/>
        <v>2040</v>
      </c>
      <c r="Q11" s="103">
        <f t="shared" si="1"/>
        <v>2045</v>
      </c>
      <c r="R11" s="103">
        <f t="shared" si="1"/>
        <v>2050</v>
      </c>
      <c r="S11" s="98"/>
      <c r="T11" s="103">
        <v>2020</v>
      </c>
      <c r="U11" s="103">
        <f t="shared" ref="U11:Z11" si="2">T11+5</f>
        <v>2025</v>
      </c>
      <c r="V11" s="103">
        <f t="shared" si="2"/>
        <v>2030</v>
      </c>
      <c r="W11" s="103">
        <f t="shared" si="2"/>
        <v>2035</v>
      </c>
      <c r="X11" s="103">
        <f t="shared" si="2"/>
        <v>2040</v>
      </c>
      <c r="Y11" s="103">
        <f t="shared" si="2"/>
        <v>2045</v>
      </c>
      <c r="Z11" s="103">
        <f t="shared" si="2"/>
        <v>2050</v>
      </c>
      <c r="AB11" s="195" t="s">
        <v>34</v>
      </c>
    </row>
    <row r="12" spans="1:28" ht="14" x14ac:dyDescent="0.25">
      <c r="B12" s="16"/>
      <c r="C12" s="159" t="s">
        <v>35</v>
      </c>
      <c r="D12" s="104" t="s">
        <v>36</v>
      </c>
      <c r="E12" s="104" t="s">
        <v>36</v>
      </c>
      <c r="F12" s="104" t="s">
        <v>36</v>
      </c>
      <c r="G12" s="104" t="s">
        <v>36</v>
      </c>
      <c r="H12" s="104" t="s">
        <v>36</v>
      </c>
      <c r="I12" s="104" t="s">
        <v>36</v>
      </c>
      <c r="J12" s="104" t="s">
        <v>36</v>
      </c>
      <c r="K12" s="16"/>
      <c r="L12" s="104" t="s">
        <v>37</v>
      </c>
      <c r="M12" s="104" t="s">
        <v>37</v>
      </c>
      <c r="N12" s="104" t="s">
        <v>37</v>
      </c>
      <c r="O12" s="104" t="s">
        <v>37</v>
      </c>
      <c r="P12" s="104" t="s">
        <v>37</v>
      </c>
      <c r="Q12" s="104" t="s">
        <v>37</v>
      </c>
      <c r="R12" s="104" t="s">
        <v>37</v>
      </c>
      <c r="T12" s="104" t="s">
        <v>37</v>
      </c>
      <c r="U12" s="104" t="s">
        <v>37</v>
      </c>
      <c r="V12" s="104" t="s">
        <v>37</v>
      </c>
      <c r="W12" s="104" t="s">
        <v>37</v>
      </c>
      <c r="X12" s="104" t="s">
        <v>37</v>
      </c>
      <c r="Y12" s="104" t="s">
        <v>37</v>
      </c>
      <c r="Z12" s="104" t="s">
        <v>37</v>
      </c>
      <c r="AA12" s="16"/>
      <c r="AB12" s="195" t="s">
        <v>38</v>
      </c>
    </row>
    <row r="13" spans="1:28" ht="23" x14ac:dyDescent="0.25">
      <c r="B13" s="16"/>
      <c r="C13" s="159" t="s">
        <v>39</v>
      </c>
      <c r="D13" s="104" t="s">
        <v>40</v>
      </c>
      <c r="E13" s="104" t="s">
        <v>40</v>
      </c>
      <c r="F13" s="104" t="s">
        <v>40</v>
      </c>
      <c r="G13" s="104" t="s">
        <v>40</v>
      </c>
      <c r="H13" s="104" t="s">
        <v>40</v>
      </c>
      <c r="I13" s="104" t="s">
        <v>40</v>
      </c>
      <c r="J13" s="104" t="s">
        <v>40</v>
      </c>
      <c r="K13" s="16"/>
      <c r="L13" s="104" t="s">
        <v>637</v>
      </c>
      <c r="M13" s="104" t="s">
        <v>637</v>
      </c>
      <c r="N13" s="104" t="s">
        <v>637</v>
      </c>
      <c r="O13" s="104" t="s">
        <v>637</v>
      </c>
      <c r="P13" s="104" t="s">
        <v>637</v>
      </c>
      <c r="Q13" s="104" t="s">
        <v>637</v>
      </c>
      <c r="R13" s="104" t="s">
        <v>637</v>
      </c>
      <c r="T13" s="104" t="s">
        <v>40</v>
      </c>
      <c r="U13" s="104" t="s">
        <v>40</v>
      </c>
      <c r="V13" s="104" t="s">
        <v>40</v>
      </c>
      <c r="W13" s="104" t="s">
        <v>40</v>
      </c>
      <c r="X13" s="104" t="s">
        <v>40</v>
      </c>
      <c r="Y13" s="104" t="s">
        <v>40</v>
      </c>
      <c r="Z13" s="104" t="s">
        <v>40</v>
      </c>
      <c r="AA13" s="16"/>
      <c r="AB13" s="195" t="s">
        <v>41</v>
      </c>
    </row>
    <row r="14" spans="1:28" ht="14" x14ac:dyDescent="0.25">
      <c r="B14" s="16"/>
      <c r="C14" s="159" t="s">
        <v>42</v>
      </c>
      <c r="D14" s="104" t="s">
        <v>43</v>
      </c>
      <c r="E14" s="104" t="s">
        <v>43</v>
      </c>
      <c r="F14" s="104" t="s">
        <v>43</v>
      </c>
      <c r="G14" s="104" t="s">
        <v>43</v>
      </c>
      <c r="H14" s="104" t="s">
        <v>43</v>
      </c>
      <c r="I14" s="104" t="s">
        <v>43</v>
      </c>
      <c r="J14" s="104" t="s">
        <v>43</v>
      </c>
      <c r="K14" s="16"/>
      <c r="L14" s="104" t="s">
        <v>43</v>
      </c>
      <c r="M14" s="104" t="s">
        <v>43</v>
      </c>
      <c r="N14" s="104" t="s">
        <v>43</v>
      </c>
      <c r="O14" s="104" t="s">
        <v>43</v>
      </c>
      <c r="P14" s="104" t="s">
        <v>43</v>
      </c>
      <c r="Q14" s="104" t="s">
        <v>43</v>
      </c>
      <c r="R14" s="104" t="s">
        <v>43</v>
      </c>
      <c r="T14" s="104" t="s">
        <v>43</v>
      </c>
      <c r="U14" s="104" t="s">
        <v>43</v>
      </c>
      <c r="V14" s="104" t="s">
        <v>43</v>
      </c>
      <c r="W14" s="104" t="s">
        <v>43</v>
      </c>
      <c r="X14" s="104" t="s">
        <v>43</v>
      </c>
      <c r="Y14" s="104" t="s">
        <v>43</v>
      </c>
      <c r="Z14" s="104" t="s">
        <v>43</v>
      </c>
      <c r="AA14" s="16"/>
      <c r="AB14" s="195" t="s">
        <v>44</v>
      </c>
    </row>
    <row r="15" spans="1:28" ht="23" x14ac:dyDescent="0.25">
      <c r="B15" s="16"/>
      <c r="C15" s="159" t="s">
        <v>45</v>
      </c>
      <c r="D15" s="104" t="s">
        <v>46</v>
      </c>
      <c r="E15" s="104" t="s">
        <v>46</v>
      </c>
      <c r="F15" s="104" t="s">
        <v>46</v>
      </c>
      <c r="G15" s="104" t="s">
        <v>46</v>
      </c>
      <c r="H15" s="104" t="s">
        <v>46</v>
      </c>
      <c r="I15" s="104" t="s">
        <v>46</v>
      </c>
      <c r="J15" s="104" t="s">
        <v>46</v>
      </c>
      <c r="K15" s="16"/>
      <c r="L15" s="104" t="s">
        <v>47</v>
      </c>
      <c r="M15" s="104" t="s">
        <v>47</v>
      </c>
      <c r="N15" s="104" t="s">
        <v>47</v>
      </c>
      <c r="O15" s="104" t="s">
        <v>47</v>
      </c>
      <c r="P15" s="104" t="s">
        <v>47</v>
      </c>
      <c r="Q15" s="104" t="s">
        <v>47</v>
      </c>
      <c r="R15" s="104" t="s">
        <v>47</v>
      </c>
      <c r="T15" s="104" t="s">
        <v>48</v>
      </c>
      <c r="U15" s="104" t="s">
        <v>48</v>
      </c>
      <c r="V15" s="104" t="s">
        <v>48</v>
      </c>
      <c r="W15" s="104" t="s">
        <v>48</v>
      </c>
      <c r="X15" s="104" t="s">
        <v>48</v>
      </c>
      <c r="Y15" s="104" t="s">
        <v>48</v>
      </c>
      <c r="Z15" s="104" t="s">
        <v>48</v>
      </c>
      <c r="AA15" s="16"/>
      <c r="AB15" s="195" t="s">
        <v>49</v>
      </c>
    </row>
    <row r="16" spans="1:28" ht="14" x14ac:dyDescent="0.25">
      <c r="B16" s="16"/>
      <c r="C16" s="159" t="s">
        <v>50</v>
      </c>
      <c r="D16" s="104" t="s">
        <v>51</v>
      </c>
      <c r="E16" s="104" t="s">
        <v>51</v>
      </c>
      <c r="F16" s="104" t="s">
        <v>51</v>
      </c>
      <c r="G16" s="104" t="s">
        <v>51</v>
      </c>
      <c r="H16" s="104" t="s">
        <v>51</v>
      </c>
      <c r="I16" s="104" t="s">
        <v>51</v>
      </c>
      <c r="J16" s="104" t="s">
        <v>51</v>
      </c>
      <c r="K16" s="16"/>
      <c r="L16" s="104" t="s">
        <v>51</v>
      </c>
      <c r="M16" s="104" t="s">
        <v>51</v>
      </c>
      <c r="N16" s="104" t="s">
        <v>51</v>
      </c>
      <c r="O16" s="104" t="s">
        <v>51</v>
      </c>
      <c r="P16" s="104" t="s">
        <v>51</v>
      </c>
      <c r="Q16" s="104" t="s">
        <v>51</v>
      </c>
      <c r="R16" s="104" t="s">
        <v>51</v>
      </c>
      <c r="T16" s="104" t="s">
        <v>51</v>
      </c>
      <c r="U16" s="104" t="s">
        <v>51</v>
      </c>
      <c r="V16" s="104" t="s">
        <v>51</v>
      </c>
      <c r="W16" s="104" t="s">
        <v>51</v>
      </c>
      <c r="X16" s="104" t="s">
        <v>51</v>
      </c>
      <c r="Y16" s="104" t="s">
        <v>51</v>
      </c>
      <c r="Z16" s="104" t="s">
        <v>51</v>
      </c>
      <c r="AA16" s="16"/>
      <c r="AB16" s="195" t="s">
        <v>52</v>
      </c>
    </row>
    <row r="17" spans="1:28" ht="14" x14ac:dyDescent="0.25">
      <c r="B17" s="16"/>
      <c r="C17" s="159" t="s">
        <v>53</v>
      </c>
      <c r="D17" s="116">
        <v>0</v>
      </c>
      <c r="E17" s="116">
        <v>0</v>
      </c>
      <c r="F17" s="116">
        <v>0</v>
      </c>
      <c r="G17" s="116">
        <v>0</v>
      </c>
      <c r="H17" s="116">
        <v>0</v>
      </c>
      <c r="I17" s="116">
        <v>0</v>
      </c>
      <c r="J17" s="116">
        <v>0</v>
      </c>
      <c r="K17" s="16"/>
      <c r="L17" s="116">
        <v>0</v>
      </c>
      <c r="M17" s="116">
        <v>0</v>
      </c>
      <c r="N17" s="116">
        <v>0</v>
      </c>
      <c r="O17" s="116">
        <v>0</v>
      </c>
      <c r="P17" s="116">
        <v>0</v>
      </c>
      <c r="Q17" s="116">
        <v>0</v>
      </c>
      <c r="R17" s="116">
        <v>0</v>
      </c>
      <c r="T17" s="116">
        <v>50</v>
      </c>
      <c r="U17" s="116">
        <v>50</v>
      </c>
      <c r="V17" s="116">
        <v>50</v>
      </c>
      <c r="W17" s="116">
        <v>50</v>
      </c>
      <c r="X17" s="116">
        <v>50</v>
      </c>
      <c r="Y17" s="116">
        <v>50</v>
      </c>
      <c r="Z17" s="116">
        <v>50</v>
      </c>
      <c r="AA17" s="16"/>
      <c r="AB17" s="195" t="s">
        <v>54</v>
      </c>
    </row>
    <row r="18" spans="1:28" ht="14" x14ac:dyDescent="0.25">
      <c r="B18" s="16"/>
      <c r="C18" s="159" t="s">
        <v>55</v>
      </c>
      <c r="D18" s="104" t="s">
        <v>56</v>
      </c>
      <c r="E18" s="104" t="s">
        <v>56</v>
      </c>
      <c r="F18" s="104" t="s">
        <v>56</v>
      </c>
      <c r="G18" s="104" t="s">
        <v>56</v>
      </c>
      <c r="H18" s="104" t="s">
        <v>56</v>
      </c>
      <c r="I18" s="104" t="s">
        <v>56</v>
      </c>
      <c r="J18" s="104" t="s">
        <v>56</v>
      </c>
      <c r="K18" s="16"/>
      <c r="L18" s="104" t="s">
        <v>56</v>
      </c>
      <c r="M18" s="104" t="s">
        <v>56</v>
      </c>
      <c r="N18" s="104" t="s">
        <v>56</v>
      </c>
      <c r="O18" s="104" t="s">
        <v>56</v>
      </c>
      <c r="P18" s="104" t="s">
        <v>56</v>
      </c>
      <c r="Q18" s="104" t="s">
        <v>56</v>
      </c>
      <c r="R18" s="104" t="s">
        <v>56</v>
      </c>
      <c r="T18" s="104" t="s">
        <v>56</v>
      </c>
      <c r="U18" s="104" t="s">
        <v>56</v>
      </c>
      <c r="V18" s="104" t="s">
        <v>56</v>
      </c>
      <c r="W18" s="104" t="s">
        <v>56</v>
      </c>
      <c r="X18" s="104" t="s">
        <v>56</v>
      </c>
      <c r="Y18" s="104" t="s">
        <v>56</v>
      </c>
      <c r="Z18" s="104" t="s">
        <v>56</v>
      </c>
      <c r="AA18" s="16"/>
      <c r="AB18" s="195" t="s">
        <v>57</v>
      </c>
    </row>
    <row r="19" spans="1:28" ht="14" x14ac:dyDescent="0.25">
      <c r="B19" s="16"/>
      <c r="C19" s="159" t="s">
        <v>58</v>
      </c>
      <c r="D19" s="104" t="s">
        <v>56</v>
      </c>
      <c r="E19" s="104" t="s">
        <v>56</v>
      </c>
      <c r="F19" s="104" t="s">
        <v>56</v>
      </c>
      <c r="G19" s="104" t="s">
        <v>56</v>
      </c>
      <c r="H19" s="104" t="s">
        <v>56</v>
      </c>
      <c r="I19" s="104" t="s">
        <v>56</v>
      </c>
      <c r="J19" s="104" t="s">
        <v>56</v>
      </c>
      <c r="K19" s="16"/>
      <c r="L19" s="104" t="s">
        <v>56</v>
      </c>
      <c r="M19" s="104" t="s">
        <v>56</v>
      </c>
      <c r="N19" s="104" t="s">
        <v>56</v>
      </c>
      <c r="O19" s="104" t="s">
        <v>56</v>
      </c>
      <c r="P19" s="104" t="s">
        <v>56</v>
      </c>
      <c r="Q19" s="104" t="s">
        <v>56</v>
      </c>
      <c r="R19" s="104" t="s">
        <v>56</v>
      </c>
      <c r="T19" s="104" t="s">
        <v>56</v>
      </c>
      <c r="U19" s="104" t="s">
        <v>56</v>
      </c>
      <c r="V19" s="104" t="s">
        <v>56</v>
      </c>
      <c r="W19" s="104" t="s">
        <v>56</v>
      </c>
      <c r="X19" s="104" t="s">
        <v>56</v>
      </c>
      <c r="Y19" s="104" t="s">
        <v>56</v>
      </c>
      <c r="Z19" s="104" t="s">
        <v>56</v>
      </c>
      <c r="AA19" s="16"/>
      <c r="AB19" s="195" t="s">
        <v>59</v>
      </c>
    </row>
    <row r="20" spans="1:28" ht="14" x14ac:dyDescent="0.25">
      <c r="B20" s="16"/>
      <c r="C20" s="159" t="s">
        <v>60</v>
      </c>
      <c r="D20" s="107">
        <v>3000</v>
      </c>
      <c r="E20" s="107">
        <v>3000</v>
      </c>
      <c r="F20" s="107">
        <v>3000</v>
      </c>
      <c r="G20" s="107">
        <v>3000</v>
      </c>
      <c r="H20" s="107">
        <v>3000</v>
      </c>
      <c r="I20" s="107">
        <v>3000</v>
      </c>
      <c r="J20" s="107">
        <v>3000</v>
      </c>
      <c r="K20" s="16"/>
      <c r="L20" s="107">
        <v>3000</v>
      </c>
      <c r="M20" s="107">
        <v>3000</v>
      </c>
      <c r="N20" s="107">
        <v>3000</v>
      </c>
      <c r="O20" s="107">
        <v>3000</v>
      </c>
      <c r="P20" s="107">
        <v>3000</v>
      </c>
      <c r="Q20" s="107">
        <v>3000</v>
      </c>
      <c r="R20" s="107">
        <v>3000</v>
      </c>
      <c r="T20" s="107">
        <v>3000</v>
      </c>
      <c r="U20" s="107">
        <v>3000</v>
      </c>
      <c r="V20" s="107">
        <v>3000</v>
      </c>
      <c r="W20" s="107">
        <v>3000</v>
      </c>
      <c r="X20" s="107">
        <v>3000</v>
      </c>
      <c r="Y20" s="107">
        <v>3000</v>
      </c>
      <c r="Z20" s="107">
        <v>3000</v>
      </c>
      <c r="AA20" s="16"/>
      <c r="AB20" s="195" t="s">
        <v>61</v>
      </c>
    </row>
    <row r="21" spans="1:28" ht="14" x14ac:dyDescent="0.25">
      <c r="B21" s="16"/>
      <c r="C21" s="159" t="s">
        <v>62</v>
      </c>
      <c r="D21" s="107">
        <v>320</v>
      </c>
      <c r="E21" s="107">
        <v>320</v>
      </c>
      <c r="F21" s="107">
        <v>320</v>
      </c>
      <c r="G21" s="107">
        <v>320</v>
      </c>
      <c r="H21" s="107">
        <v>320</v>
      </c>
      <c r="I21" s="107">
        <v>320</v>
      </c>
      <c r="J21" s="107">
        <v>320</v>
      </c>
      <c r="K21" s="16"/>
      <c r="L21" s="107">
        <v>0</v>
      </c>
      <c r="M21" s="107">
        <v>0</v>
      </c>
      <c r="N21" s="107">
        <v>0</v>
      </c>
      <c r="O21" s="107">
        <v>0</v>
      </c>
      <c r="P21" s="107">
        <v>0</v>
      </c>
      <c r="Q21" s="107">
        <v>0</v>
      </c>
      <c r="R21" s="107">
        <v>0</v>
      </c>
      <c r="T21" s="107">
        <v>0</v>
      </c>
      <c r="U21" s="107">
        <v>0</v>
      </c>
      <c r="V21" s="107">
        <v>0</v>
      </c>
      <c r="W21" s="107">
        <v>0</v>
      </c>
      <c r="X21" s="107">
        <v>0</v>
      </c>
      <c r="Y21" s="107">
        <v>0</v>
      </c>
      <c r="Z21" s="107">
        <v>0</v>
      </c>
      <c r="AA21" s="16"/>
      <c r="AB21" s="195" t="s">
        <v>63</v>
      </c>
    </row>
    <row r="22" spans="1:28" ht="14" x14ac:dyDescent="0.25">
      <c r="B22" s="16"/>
      <c r="C22" s="159" t="s">
        <v>64</v>
      </c>
      <c r="D22" s="105">
        <f>INDEX(PNW_solar_cost_data!$B$10:$B$10,MATCH(Pathways!D16,PNW_solar_cost_data!$A$10:$A$10,0))</f>
        <v>0.2621420819213186</v>
      </c>
      <c r="E22" s="105">
        <f>INDEX(PNW_solar_cost_data!$B$10:$B$10,MATCH(Pathways!E16,PNW_solar_cost_data!$A$10:$A$10,0))</f>
        <v>0.2621420819213186</v>
      </c>
      <c r="F22" s="105">
        <f>INDEX(PNW_solar_cost_data!$B$10:$B$10,MATCH(Pathways!F16,PNW_solar_cost_data!$A$10:$A$10,0))</f>
        <v>0.2621420819213186</v>
      </c>
      <c r="G22" s="105">
        <f>INDEX(PNW_solar_cost_data!$B$10:$B$10,MATCH(Pathways!G16,PNW_solar_cost_data!$A$10:$A$10,0))</f>
        <v>0.2621420819213186</v>
      </c>
      <c r="H22" s="105">
        <f>INDEX(PNW_solar_cost_data!$B$10:$B$10,MATCH(Pathways!H16,PNW_solar_cost_data!$A$10:$A$10,0))</f>
        <v>0.2621420819213186</v>
      </c>
      <c r="I22" s="105">
        <f>INDEX(PNW_solar_cost_data!$B$10:$B$10,MATCH(Pathways!I16,PNW_solar_cost_data!$A$10:$A$10,0))</f>
        <v>0.2621420819213186</v>
      </c>
      <c r="J22" s="105">
        <f>INDEX(PNW_solar_cost_data!$B$10:$B$10,MATCH(Pathways!J16,PNW_solar_cost_data!$A$10:$A$10,0))</f>
        <v>0.2621420819213186</v>
      </c>
      <c r="K22" s="16"/>
      <c r="L22" s="105">
        <f>INDEX(PNW_solar_cost_data!$B$10:$B$10,MATCH(Pathways!L16,PNW_solar_cost_data!$A$10:$A$10,0))</f>
        <v>0.2621420819213186</v>
      </c>
      <c r="M22" s="105">
        <f>INDEX(PNW_solar_cost_data!$B$10:$B$10,MATCH(Pathways!M16,PNW_solar_cost_data!$A$10:$A$10,0))</f>
        <v>0.2621420819213186</v>
      </c>
      <c r="N22" s="105">
        <f>INDEX(PNW_solar_cost_data!$B$10:$B$10,MATCH(Pathways!N16,PNW_solar_cost_data!$A$10:$A$10,0))</f>
        <v>0.2621420819213186</v>
      </c>
      <c r="O22" s="105">
        <f>INDEX(PNW_solar_cost_data!$B$10:$B$10,MATCH(Pathways!O16,PNW_solar_cost_data!$A$10:$A$10,0))</f>
        <v>0.2621420819213186</v>
      </c>
      <c r="P22" s="105">
        <f>INDEX(PNW_solar_cost_data!$B$10:$B$10,MATCH(Pathways!P16,PNW_solar_cost_data!$A$10:$A$10,0))</f>
        <v>0.2621420819213186</v>
      </c>
      <c r="Q22" s="105">
        <f>INDEX(PNW_solar_cost_data!$B$10:$B$10,MATCH(Pathways!Q16,PNW_solar_cost_data!$A$10:$A$10,0))</f>
        <v>0.2621420819213186</v>
      </c>
      <c r="R22" s="105">
        <f>INDEX(PNW_solar_cost_data!$B$10:$B$10,MATCH(Pathways!R16,PNW_solar_cost_data!$A$10:$A$10,0))</f>
        <v>0.2621420819213186</v>
      </c>
      <c r="T22" s="105">
        <f>INDEX(PNW_solar_cost_data!$B$10:$B$10,MATCH(Pathways!T16,PNW_solar_cost_data!$A$10:$A$10,0))</f>
        <v>0.2621420819213186</v>
      </c>
      <c r="U22" s="105">
        <f>INDEX(PNW_solar_cost_data!$B$10:$B$10,MATCH(Pathways!U16,PNW_solar_cost_data!$A$10:$A$10,0))</f>
        <v>0.2621420819213186</v>
      </c>
      <c r="V22" s="105">
        <f>INDEX(PNW_solar_cost_data!$B$10:$B$10,MATCH(Pathways!V16,PNW_solar_cost_data!$A$10:$A$10,0))</f>
        <v>0.2621420819213186</v>
      </c>
      <c r="W22" s="105">
        <f>INDEX(PNW_solar_cost_data!$B$10:$B$10,MATCH(Pathways!W16,PNW_solar_cost_data!$A$10:$A$10,0))</f>
        <v>0.2621420819213186</v>
      </c>
      <c r="X22" s="105">
        <f>INDEX(PNW_solar_cost_data!$B$10:$B$10,MATCH(Pathways!X16,PNW_solar_cost_data!$A$10:$A$10,0))</f>
        <v>0.2621420819213186</v>
      </c>
      <c r="Y22" s="105">
        <f>INDEX(PNW_solar_cost_data!$B$10:$B$10,MATCH(Pathways!Y16,PNW_solar_cost_data!$A$10:$A$10,0))</f>
        <v>0.2621420819213186</v>
      </c>
      <c r="Z22" s="105">
        <f>INDEX(PNW_solar_cost_data!$B$10:$B$10,MATCH(Pathways!Z16,PNW_solar_cost_data!$A$10:$A$10,0))</f>
        <v>0.2621420819213186</v>
      </c>
      <c r="AA22" s="16"/>
      <c r="AB22" s="195" t="s">
        <v>65</v>
      </c>
    </row>
    <row r="23" spans="1:28" ht="14" x14ac:dyDescent="0.25">
      <c r="B23" s="8"/>
      <c r="C23" s="159" t="s">
        <v>66</v>
      </c>
      <c r="D23" s="106" t="s">
        <v>68</v>
      </c>
      <c r="E23" s="106" t="s">
        <v>67</v>
      </c>
      <c r="F23" s="106" t="s">
        <v>67</v>
      </c>
      <c r="G23" s="106" t="s">
        <v>67</v>
      </c>
      <c r="H23" s="106" t="s">
        <v>67</v>
      </c>
      <c r="I23" s="106" t="s">
        <v>67</v>
      </c>
      <c r="J23" s="106" t="s">
        <v>67</v>
      </c>
      <c r="K23" s="16"/>
      <c r="L23" s="106" t="s">
        <v>68</v>
      </c>
      <c r="M23" s="106" t="s">
        <v>68</v>
      </c>
      <c r="N23" s="106" t="s">
        <v>68</v>
      </c>
      <c r="O23" s="106" t="s">
        <v>68</v>
      </c>
      <c r="P23" s="106" t="s">
        <v>68</v>
      </c>
      <c r="Q23" s="106" t="s">
        <v>68</v>
      </c>
      <c r="R23" s="106" t="s">
        <v>68</v>
      </c>
      <c r="T23" s="106" t="s">
        <v>68</v>
      </c>
      <c r="U23" s="106" t="s">
        <v>68</v>
      </c>
      <c r="V23" s="106" t="s">
        <v>68</v>
      </c>
      <c r="W23" s="106" t="s">
        <v>68</v>
      </c>
      <c r="X23" s="106" t="s">
        <v>68</v>
      </c>
      <c r="Y23" s="106" t="s">
        <v>68</v>
      </c>
      <c r="Z23" s="106" t="s">
        <v>68</v>
      </c>
      <c r="AA23" s="16"/>
      <c r="AB23" s="195" t="s">
        <v>69</v>
      </c>
    </row>
    <row r="24" spans="1:28" ht="14" x14ac:dyDescent="0.25">
      <c r="B24" s="16"/>
      <c r="C24" s="159" t="s">
        <v>70</v>
      </c>
      <c r="D24" s="153">
        <v>6.8000000000000005E-2</v>
      </c>
      <c r="E24" s="153">
        <v>6.8000000000000005E-2</v>
      </c>
      <c r="F24" s="153">
        <v>6.8000000000000005E-2</v>
      </c>
      <c r="G24" s="153">
        <v>6.8000000000000005E-2</v>
      </c>
      <c r="H24" s="153">
        <v>6.8000000000000005E-2</v>
      </c>
      <c r="I24" s="153">
        <v>6.8000000000000005E-2</v>
      </c>
      <c r="J24" s="153">
        <v>6.8000000000000005E-2</v>
      </c>
      <c r="K24" s="16"/>
      <c r="L24" s="153">
        <v>6.8000000000000005E-2</v>
      </c>
      <c r="M24" s="153">
        <v>6.8000000000000005E-2</v>
      </c>
      <c r="N24" s="153">
        <v>6.8000000000000005E-2</v>
      </c>
      <c r="O24" s="153">
        <v>6.8000000000000005E-2</v>
      </c>
      <c r="P24" s="153">
        <v>6.8000000000000005E-2</v>
      </c>
      <c r="Q24" s="153">
        <v>6.8000000000000005E-2</v>
      </c>
      <c r="R24" s="153">
        <v>6.8000000000000005E-2</v>
      </c>
      <c r="T24" s="153">
        <v>6.8000000000000005E-2</v>
      </c>
      <c r="U24" s="153">
        <v>6.8000000000000005E-2</v>
      </c>
      <c r="V24" s="153">
        <v>6.8000000000000005E-2</v>
      </c>
      <c r="W24" s="153">
        <v>6.8000000000000005E-2</v>
      </c>
      <c r="X24" s="153">
        <v>6.8000000000000005E-2</v>
      </c>
      <c r="Y24" s="153">
        <v>6.8000000000000005E-2</v>
      </c>
      <c r="Z24" s="153">
        <v>6.8000000000000005E-2</v>
      </c>
      <c r="AA24" s="16"/>
      <c r="AB24" s="195" t="s">
        <v>71</v>
      </c>
    </row>
    <row r="25" spans="1:28" ht="14" x14ac:dyDescent="0.25">
      <c r="B25" s="16"/>
      <c r="C25" s="159" t="s">
        <v>72</v>
      </c>
      <c r="D25" s="107">
        <v>20</v>
      </c>
      <c r="E25" s="107">
        <v>20</v>
      </c>
      <c r="F25" s="107">
        <v>20</v>
      </c>
      <c r="G25" s="107">
        <v>20</v>
      </c>
      <c r="H25" s="107">
        <v>20</v>
      </c>
      <c r="I25" s="107">
        <v>20</v>
      </c>
      <c r="J25" s="107">
        <v>20</v>
      </c>
      <c r="K25" s="16"/>
      <c r="L25" s="107">
        <v>20</v>
      </c>
      <c r="M25" s="107">
        <v>20</v>
      </c>
      <c r="N25" s="107">
        <v>20</v>
      </c>
      <c r="O25" s="107">
        <v>20</v>
      </c>
      <c r="P25" s="107">
        <v>20</v>
      </c>
      <c r="Q25" s="107">
        <v>20</v>
      </c>
      <c r="R25" s="107">
        <v>20</v>
      </c>
      <c r="T25" s="107">
        <v>20</v>
      </c>
      <c r="U25" s="107">
        <v>20</v>
      </c>
      <c r="V25" s="107">
        <v>20</v>
      </c>
      <c r="W25" s="107">
        <v>20</v>
      </c>
      <c r="X25" s="107">
        <v>20</v>
      </c>
      <c r="Y25" s="107">
        <v>20</v>
      </c>
      <c r="Z25" s="107">
        <v>20</v>
      </c>
      <c r="AA25" s="16"/>
      <c r="AB25" s="195" t="s">
        <v>73</v>
      </c>
    </row>
    <row r="26" spans="1:28" ht="14" x14ac:dyDescent="0.25">
      <c r="B26" s="16"/>
      <c r="C26" s="159" t="s">
        <v>74</v>
      </c>
      <c r="D26" s="107">
        <v>40</v>
      </c>
      <c r="E26" s="107">
        <v>40</v>
      </c>
      <c r="F26" s="107">
        <v>40</v>
      </c>
      <c r="G26" s="107">
        <v>40</v>
      </c>
      <c r="H26" s="107">
        <v>40</v>
      </c>
      <c r="I26" s="107">
        <v>40</v>
      </c>
      <c r="J26" s="107">
        <v>40</v>
      </c>
      <c r="K26" s="16"/>
      <c r="L26" s="107">
        <v>40</v>
      </c>
      <c r="M26" s="107">
        <v>40</v>
      </c>
      <c r="N26" s="107">
        <v>40</v>
      </c>
      <c r="O26" s="107">
        <v>40</v>
      </c>
      <c r="P26" s="107">
        <v>40</v>
      </c>
      <c r="Q26" s="107">
        <v>40</v>
      </c>
      <c r="R26" s="107">
        <v>40</v>
      </c>
      <c r="T26" s="107">
        <v>40</v>
      </c>
      <c r="U26" s="107">
        <v>40</v>
      </c>
      <c r="V26" s="107">
        <v>40</v>
      </c>
      <c r="W26" s="107">
        <v>40</v>
      </c>
      <c r="X26" s="107">
        <v>40</v>
      </c>
      <c r="Y26" s="107">
        <v>40</v>
      </c>
      <c r="Z26" s="107">
        <v>40</v>
      </c>
      <c r="AA26" s="16"/>
      <c r="AB26" s="195" t="s">
        <v>75</v>
      </c>
    </row>
    <row r="28" spans="1:28" s="1" customFormat="1" ht="18.5" thickBot="1" x14ac:dyDescent="0.3">
      <c r="A28" s="1" t="s">
        <v>76</v>
      </c>
      <c r="C28" s="158"/>
      <c r="D28" s="99"/>
      <c r="E28" s="99"/>
      <c r="F28" s="99"/>
      <c r="G28" s="99"/>
      <c r="H28" s="99"/>
      <c r="I28" s="99"/>
      <c r="J28" s="99"/>
      <c r="L28" s="99"/>
      <c r="M28" s="99"/>
      <c r="N28" s="99"/>
      <c r="O28" s="99"/>
      <c r="P28" s="99"/>
      <c r="Q28" s="99"/>
      <c r="R28" s="99"/>
      <c r="S28" s="98"/>
      <c r="T28" s="99"/>
      <c r="U28" s="99"/>
      <c r="V28" s="99"/>
      <c r="W28" s="99"/>
      <c r="X28" s="99"/>
      <c r="Y28" s="99"/>
      <c r="Z28" s="99"/>
      <c r="AB28" s="197"/>
    </row>
    <row r="29" spans="1:28" x14ac:dyDescent="0.25">
      <c r="B29" s="8"/>
      <c r="AA29" s="8"/>
    </row>
    <row r="30" spans="1:28" s="91" customFormat="1" ht="17" thickBot="1" x14ac:dyDescent="0.3">
      <c r="A30" s="8"/>
      <c r="B30" s="91" t="s">
        <v>77</v>
      </c>
      <c r="C30" s="161"/>
      <c r="D30" s="101"/>
      <c r="E30" s="101"/>
      <c r="F30" s="101"/>
      <c r="G30" s="101"/>
      <c r="H30" s="101"/>
      <c r="I30" s="101"/>
      <c r="J30" s="101"/>
      <c r="L30" s="101"/>
      <c r="M30" s="101"/>
      <c r="N30" s="101"/>
      <c r="O30" s="101"/>
      <c r="P30" s="101"/>
      <c r="Q30" s="101"/>
      <c r="R30" s="101"/>
      <c r="S30" s="98"/>
      <c r="T30" s="101"/>
      <c r="U30" s="101"/>
      <c r="V30" s="101"/>
      <c r="W30" s="101"/>
      <c r="X30" s="101"/>
      <c r="Y30" s="101"/>
      <c r="Z30" s="101"/>
      <c r="AB30" s="198"/>
    </row>
    <row r="31" spans="1:28" x14ac:dyDescent="0.25">
      <c r="B31" s="8"/>
      <c r="AA31" s="8"/>
    </row>
    <row r="32" spans="1:28" ht="14" x14ac:dyDescent="0.25">
      <c r="B32" s="8"/>
      <c r="C32" s="159">
        <v>2020</v>
      </c>
      <c r="D32" s="116">
        <f>INDEX(PNW_solar_cost_data!$C$10:$AG$10,MATCH(Pathways!D$16,PNW_solar_cost_data!$A$10:$A$10,0),MATCH(Pathways!$C32,PNW_solar_cost_data!$C$9:$AL$9,0))*(1/(D$22*8.76))</f>
        <v>25.719424303417231</v>
      </c>
      <c r="E32" s="116">
        <f>INDEX(PNW_solar_cost_data!$C$10:$AG$10,MATCH(Pathways!E$16,PNW_solar_cost_data!$A$10:$A$10,0),MATCH(Pathways!$C32,PNW_solar_cost_data!$C$9:$AL$9,0))*(1/(E$22*8.76))</f>
        <v>25.719424303417231</v>
      </c>
      <c r="F32" s="116">
        <f>INDEX(PNW_solar_cost_data!$C$10:$AG$10,MATCH(Pathways!F$16,PNW_solar_cost_data!$A$10:$A$10,0),MATCH(Pathways!$C32,PNW_solar_cost_data!$C$9:$AL$9,0))*(1/(F$22*8.76))</f>
        <v>25.719424303417231</v>
      </c>
      <c r="G32" s="116">
        <f>INDEX(PNW_solar_cost_data!$C$10:$AG$10,MATCH(Pathways!G$16,PNW_solar_cost_data!$A$10:$A$10,0),MATCH(Pathways!$C32,PNW_solar_cost_data!$C$9:$AL$9,0))*(1/(G$22*8.76))</f>
        <v>25.719424303417231</v>
      </c>
      <c r="H32" s="116">
        <f>INDEX(PNW_solar_cost_data!$C$10:$AG$10,MATCH(Pathways!H$16,PNW_solar_cost_data!$A$10:$A$10,0),MATCH(Pathways!$C32,PNW_solar_cost_data!$C$9:$AL$9,0))*(1/(H$22*8.76))</f>
        <v>25.719424303417231</v>
      </c>
      <c r="I32" s="116">
        <f>INDEX(PNW_solar_cost_data!$C$10:$AG$10,MATCH(Pathways!I$16,PNW_solar_cost_data!$A$10:$A$10,0),MATCH(Pathways!$C32,PNW_solar_cost_data!$C$9:$AL$9,0))*(1/(I$22*8.76))</f>
        <v>25.719424303417231</v>
      </c>
      <c r="J32" s="116">
        <f>INDEX(PNW_solar_cost_data!$C$10:$AG$10,MATCH(Pathways!J$16,PNW_solar_cost_data!$A$10:$A$10,0),MATCH(Pathways!$C32,PNW_solar_cost_data!$C$9:$AL$9,0))*(1/(J$22*8.76))</f>
        <v>25.719424303417231</v>
      </c>
      <c r="K32" s="16"/>
      <c r="L32" s="116">
        <f>INDEX(PNW_solar_cost_data!$C$10:$AG$10,MATCH(Pathways!L$16,PNW_solar_cost_data!$A$10:$A$10,0),MATCH(Pathways!$C32,PNW_solar_cost_data!$C$9:$AL$9,0))*(1/(L$22*8.76))</f>
        <v>25.719424303417231</v>
      </c>
      <c r="M32" s="116">
        <f>INDEX(PNW_solar_cost_data!$C$10:$AG$10,MATCH(Pathways!M$16,PNW_solar_cost_data!$A$10:$A$10,0),MATCH(Pathways!$C32,PNW_solar_cost_data!$C$9:$AL$9,0))*(1/(M$22*8.76))</f>
        <v>25.719424303417231</v>
      </c>
      <c r="N32" s="116">
        <f>INDEX(PNW_solar_cost_data!$C$10:$AG$10,MATCH(Pathways!N$16,PNW_solar_cost_data!$A$10:$A$10,0),MATCH(Pathways!$C32,PNW_solar_cost_data!$C$9:$AL$9,0))*(1/(N$22*8.76))</f>
        <v>25.719424303417231</v>
      </c>
      <c r="O32" s="116">
        <f>INDEX(PNW_solar_cost_data!$C$10:$AG$10,MATCH(Pathways!O$16,PNW_solar_cost_data!$A$10:$A$10,0),MATCH(Pathways!$C32,PNW_solar_cost_data!$C$9:$AL$9,0))*(1/(O$22*8.76))</f>
        <v>25.719424303417231</v>
      </c>
      <c r="P32" s="116">
        <f>INDEX(PNW_solar_cost_data!$C$10:$AG$10,MATCH(Pathways!P$16,PNW_solar_cost_data!$A$10:$A$10,0),MATCH(Pathways!$C32,PNW_solar_cost_data!$C$9:$AL$9,0))*(1/(P$22*8.76))</f>
        <v>25.719424303417231</v>
      </c>
      <c r="Q32" s="116">
        <f>INDEX(PNW_solar_cost_data!$C$10:$AG$10,MATCH(Pathways!Q$16,PNW_solar_cost_data!$A$10:$A$10,0),MATCH(Pathways!$C32,PNW_solar_cost_data!$C$9:$AL$9,0))*(1/(Q$22*8.76))</f>
        <v>25.719424303417231</v>
      </c>
      <c r="R32" s="116">
        <f>INDEX(PNW_solar_cost_data!$C$10:$AG$10,MATCH(Pathways!R$16,PNW_solar_cost_data!$A$10:$A$10,0),MATCH(Pathways!$C32,PNW_solar_cost_data!$C$9:$AL$9,0))*(1/(R$22*8.76))</f>
        <v>25.719424303417231</v>
      </c>
      <c r="T32" s="116">
        <f>INDEX(PNW_solar_cost_data!$C$10:$AG$10,MATCH(Pathways!T$16,PNW_solar_cost_data!$A$10:$A$10,0),MATCH(Pathways!$C32,PNW_solar_cost_data!$C$9:$AL$9,0))*(1/(T$22*8.76))</f>
        <v>25.719424303417231</v>
      </c>
      <c r="U32" s="116">
        <f>INDEX(PNW_solar_cost_data!$C$10:$AG$10,MATCH(Pathways!U$16,PNW_solar_cost_data!$A$10:$A$10,0),MATCH(Pathways!$C32,PNW_solar_cost_data!$C$9:$AL$9,0))*(1/(U$22*8.76))</f>
        <v>25.719424303417231</v>
      </c>
      <c r="V32" s="116">
        <f>INDEX(PNW_solar_cost_data!$C$10:$AG$10,MATCH(Pathways!V$16,PNW_solar_cost_data!$A$10:$A$10,0),MATCH(Pathways!$C32,PNW_solar_cost_data!$C$9:$AL$9,0))*(1/(V$22*8.76))</f>
        <v>25.719424303417231</v>
      </c>
      <c r="W32" s="116">
        <f>INDEX(PNW_solar_cost_data!$C$10:$AG$10,MATCH(Pathways!W$16,PNW_solar_cost_data!$A$10:$A$10,0),MATCH(Pathways!$C32,PNW_solar_cost_data!$C$9:$AL$9,0))*(1/(W$22*8.76))</f>
        <v>25.719424303417231</v>
      </c>
      <c r="X32" s="116">
        <f>INDEX(PNW_solar_cost_data!$C$10:$AG$10,MATCH(Pathways!X$16,PNW_solar_cost_data!$A$10:$A$10,0),MATCH(Pathways!$C32,PNW_solar_cost_data!$C$9:$AL$9,0))*(1/(X$22*8.76))</f>
        <v>25.719424303417231</v>
      </c>
      <c r="Y32" s="116">
        <f>INDEX(PNW_solar_cost_data!$C$10:$AG$10,MATCH(Pathways!Y$16,PNW_solar_cost_data!$A$10:$A$10,0),MATCH(Pathways!$C32,PNW_solar_cost_data!$C$9:$AL$9,0))*(1/(Y$22*8.76))</f>
        <v>25.719424303417231</v>
      </c>
      <c r="Z32" s="116">
        <f>INDEX(PNW_solar_cost_data!$C$10:$AG$10,MATCH(Pathways!Z$16,PNW_solar_cost_data!$A$10:$A$10,0),MATCH(Pathways!$C32,PNW_solar_cost_data!$C$9:$AL$9,0))*(1/(Z$22*8.76))</f>
        <v>25.719424303417231</v>
      </c>
      <c r="AA32" s="16"/>
      <c r="AB32" s="199" t="s">
        <v>78</v>
      </c>
    </row>
    <row r="33" spans="1:28" ht="14" x14ac:dyDescent="0.25">
      <c r="B33" s="8"/>
      <c r="C33" s="159">
        <f t="shared" ref="C33:C38" si="3">C32+5</f>
        <v>2025</v>
      </c>
      <c r="D33" s="116">
        <f>INDEX(PNW_solar_cost_data!$C$10:$AG$10,MATCH(Pathways!D$16,PNW_solar_cost_data!$A$10:$A$10,0),MATCH(Pathways!$C33,PNW_solar_cost_data!$C$9:$AL$9,0))*(1/(D$22*8.76))</f>
        <v>19.646953226905421</v>
      </c>
      <c r="E33" s="116">
        <f>INDEX(PNW_solar_cost_data!$C$10:$AG$10,MATCH(Pathways!E$16,PNW_solar_cost_data!$A$10:$A$10,0),MATCH(Pathways!$C33,PNW_solar_cost_data!$C$9:$AL$9,0))*(1/(E$22*8.76))</f>
        <v>19.646953226905421</v>
      </c>
      <c r="F33" s="116">
        <f>INDEX(PNW_solar_cost_data!$C$10:$AG$10,MATCH(Pathways!F$16,PNW_solar_cost_data!$A$10:$A$10,0),MATCH(Pathways!$C33,PNW_solar_cost_data!$C$9:$AL$9,0))*(1/(F$22*8.76))</f>
        <v>19.646953226905421</v>
      </c>
      <c r="G33" s="116">
        <f>INDEX(PNW_solar_cost_data!$C$10:$AG$10,MATCH(Pathways!G$16,PNW_solar_cost_data!$A$10:$A$10,0),MATCH(Pathways!$C33,PNW_solar_cost_data!$C$9:$AL$9,0))*(1/(G$22*8.76))</f>
        <v>19.646953226905421</v>
      </c>
      <c r="H33" s="116">
        <f>INDEX(PNW_solar_cost_data!$C$10:$AG$10,MATCH(Pathways!H$16,PNW_solar_cost_data!$A$10:$A$10,0),MATCH(Pathways!$C33,PNW_solar_cost_data!$C$9:$AL$9,0))*(1/(H$22*8.76))</f>
        <v>19.646953226905421</v>
      </c>
      <c r="I33" s="116">
        <f>INDEX(PNW_solar_cost_data!$C$10:$AG$10,MATCH(Pathways!I$16,PNW_solar_cost_data!$A$10:$A$10,0),MATCH(Pathways!$C33,PNW_solar_cost_data!$C$9:$AL$9,0))*(1/(I$22*8.76))</f>
        <v>19.646953226905421</v>
      </c>
      <c r="J33" s="116">
        <f>INDEX(PNW_solar_cost_data!$C$10:$AG$10,MATCH(Pathways!J$16,PNW_solar_cost_data!$A$10:$A$10,0),MATCH(Pathways!$C33,PNW_solar_cost_data!$C$9:$AL$9,0))*(1/(J$22*8.76))</f>
        <v>19.646953226905421</v>
      </c>
      <c r="K33" s="16"/>
      <c r="L33" s="116">
        <f>INDEX(PNW_solar_cost_data!$C$10:$AG$10,MATCH(Pathways!L$16,PNW_solar_cost_data!$A$10:$A$10,0),MATCH(Pathways!$C33,PNW_solar_cost_data!$C$9:$AL$9,0))*(1/(L$22*8.76))</f>
        <v>19.646953226905421</v>
      </c>
      <c r="M33" s="116">
        <f>INDEX(PNW_solar_cost_data!$C$10:$AG$10,MATCH(Pathways!M$16,PNW_solar_cost_data!$A$10:$A$10,0),MATCH(Pathways!$C33,PNW_solar_cost_data!$C$9:$AL$9,0))*(1/(M$22*8.76))</f>
        <v>19.646953226905421</v>
      </c>
      <c r="N33" s="116">
        <f>INDEX(PNW_solar_cost_data!$C$10:$AG$10,MATCH(Pathways!N$16,PNW_solar_cost_data!$A$10:$A$10,0),MATCH(Pathways!$C33,PNW_solar_cost_data!$C$9:$AL$9,0))*(1/(N$22*8.76))</f>
        <v>19.646953226905421</v>
      </c>
      <c r="O33" s="116">
        <f>INDEX(PNW_solar_cost_data!$C$10:$AG$10,MATCH(Pathways!O$16,PNW_solar_cost_data!$A$10:$A$10,0),MATCH(Pathways!$C33,PNW_solar_cost_data!$C$9:$AL$9,0))*(1/(O$22*8.76))</f>
        <v>19.646953226905421</v>
      </c>
      <c r="P33" s="116">
        <f>INDEX(PNW_solar_cost_data!$C$10:$AG$10,MATCH(Pathways!P$16,PNW_solar_cost_data!$A$10:$A$10,0),MATCH(Pathways!$C33,PNW_solar_cost_data!$C$9:$AL$9,0))*(1/(P$22*8.76))</f>
        <v>19.646953226905421</v>
      </c>
      <c r="Q33" s="116">
        <f>INDEX(PNW_solar_cost_data!$C$10:$AG$10,MATCH(Pathways!Q$16,PNW_solar_cost_data!$A$10:$A$10,0),MATCH(Pathways!$C33,PNW_solar_cost_data!$C$9:$AL$9,0))*(1/(Q$22*8.76))</f>
        <v>19.646953226905421</v>
      </c>
      <c r="R33" s="116">
        <f>INDEX(PNW_solar_cost_data!$C$10:$AG$10,MATCH(Pathways!R$16,PNW_solar_cost_data!$A$10:$A$10,0),MATCH(Pathways!$C33,PNW_solar_cost_data!$C$9:$AL$9,0))*(1/(R$22*8.76))</f>
        <v>19.646953226905421</v>
      </c>
      <c r="T33" s="116">
        <f>INDEX(PNW_solar_cost_data!$C$10:$AG$10,MATCH(Pathways!T$16,PNW_solar_cost_data!$A$10:$A$10,0),MATCH(Pathways!$C33,PNW_solar_cost_data!$C$9:$AL$9,0))*(1/(T$22*8.76))</f>
        <v>19.646953226905421</v>
      </c>
      <c r="U33" s="116">
        <f>INDEX(PNW_solar_cost_data!$C$10:$AG$10,MATCH(Pathways!U$16,PNW_solar_cost_data!$A$10:$A$10,0),MATCH(Pathways!$C33,PNW_solar_cost_data!$C$9:$AL$9,0))*(1/(U$22*8.76))</f>
        <v>19.646953226905421</v>
      </c>
      <c r="V33" s="116">
        <f>INDEX(PNW_solar_cost_data!$C$10:$AG$10,MATCH(Pathways!V$16,PNW_solar_cost_data!$A$10:$A$10,0),MATCH(Pathways!$C33,PNW_solar_cost_data!$C$9:$AL$9,0))*(1/(V$22*8.76))</f>
        <v>19.646953226905421</v>
      </c>
      <c r="W33" s="116">
        <f>INDEX(PNW_solar_cost_data!$C$10:$AG$10,MATCH(Pathways!W$16,PNW_solar_cost_data!$A$10:$A$10,0),MATCH(Pathways!$C33,PNW_solar_cost_data!$C$9:$AL$9,0))*(1/(W$22*8.76))</f>
        <v>19.646953226905421</v>
      </c>
      <c r="X33" s="116">
        <f>INDEX(PNW_solar_cost_data!$C$10:$AG$10,MATCH(Pathways!X$16,PNW_solar_cost_data!$A$10:$A$10,0),MATCH(Pathways!$C33,PNW_solar_cost_data!$C$9:$AL$9,0))*(1/(X$22*8.76))</f>
        <v>19.646953226905421</v>
      </c>
      <c r="Y33" s="116">
        <f>INDEX(PNW_solar_cost_data!$C$10:$AG$10,MATCH(Pathways!Y$16,PNW_solar_cost_data!$A$10:$A$10,0),MATCH(Pathways!$C33,PNW_solar_cost_data!$C$9:$AL$9,0))*(1/(Y$22*8.76))</f>
        <v>19.646953226905421</v>
      </c>
      <c r="Z33" s="116">
        <f>INDEX(PNW_solar_cost_data!$C$10:$AG$10,MATCH(Pathways!Z$16,PNW_solar_cost_data!$A$10:$A$10,0),MATCH(Pathways!$C33,PNW_solar_cost_data!$C$9:$AL$9,0))*(1/(Z$22*8.76))</f>
        <v>19.646953226905421</v>
      </c>
      <c r="AA33" s="16"/>
      <c r="AB33" s="200"/>
    </row>
    <row r="34" spans="1:28" ht="14" x14ac:dyDescent="0.25">
      <c r="B34" s="8"/>
      <c r="C34" s="159">
        <f t="shared" si="3"/>
        <v>2030</v>
      </c>
      <c r="D34" s="116">
        <f>INDEX(PNW_solar_cost_data!$C$10:$AG$10,MATCH(Pathways!D$16,PNW_solar_cost_data!$A$10:$A$10,0),MATCH(Pathways!$C34,PNW_solar_cost_data!$C$9:$AL$9,0))*(1/(D$22*8.76))</f>
        <v>18.782799628566927</v>
      </c>
      <c r="E34" s="116">
        <f>INDEX(PNW_solar_cost_data!$C$10:$AG$10,MATCH(Pathways!E$16,PNW_solar_cost_data!$A$10:$A$10,0),MATCH(Pathways!$C34,PNW_solar_cost_data!$C$9:$AL$9,0))*(1/(E$22*8.76))</f>
        <v>18.782799628566927</v>
      </c>
      <c r="F34" s="116">
        <f>INDEX(PNW_solar_cost_data!$C$10:$AG$10,MATCH(Pathways!F$16,PNW_solar_cost_data!$A$10:$A$10,0),MATCH(Pathways!$C34,PNW_solar_cost_data!$C$9:$AL$9,0))*(1/(F$22*8.76))</f>
        <v>18.782799628566927</v>
      </c>
      <c r="G34" s="116">
        <f>INDEX(PNW_solar_cost_data!$C$10:$AG$10,MATCH(Pathways!G$16,PNW_solar_cost_data!$A$10:$A$10,0),MATCH(Pathways!$C34,PNW_solar_cost_data!$C$9:$AL$9,0))*(1/(G$22*8.76))</f>
        <v>18.782799628566927</v>
      </c>
      <c r="H34" s="116">
        <f>INDEX(PNW_solar_cost_data!$C$10:$AG$10,MATCH(Pathways!H$16,PNW_solar_cost_data!$A$10:$A$10,0),MATCH(Pathways!$C34,PNW_solar_cost_data!$C$9:$AL$9,0))*(1/(H$22*8.76))</f>
        <v>18.782799628566927</v>
      </c>
      <c r="I34" s="116">
        <f>INDEX(PNW_solar_cost_data!$C$10:$AG$10,MATCH(Pathways!I$16,PNW_solar_cost_data!$A$10:$A$10,0),MATCH(Pathways!$C34,PNW_solar_cost_data!$C$9:$AL$9,0))*(1/(I$22*8.76))</f>
        <v>18.782799628566927</v>
      </c>
      <c r="J34" s="116">
        <f>INDEX(PNW_solar_cost_data!$C$10:$AG$10,MATCH(Pathways!J$16,PNW_solar_cost_data!$A$10:$A$10,0),MATCH(Pathways!$C34,PNW_solar_cost_data!$C$9:$AL$9,0))*(1/(J$22*8.76))</f>
        <v>18.782799628566927</v>
      </c>
      <c r="K34" s="16"/>
      <c r="L34" s="116">
        <f>INDEX(PNW_solar_cost_data!$C$10:$AG$10,MATCH(Pathways!L$16,PNW_solar_cost_data!$A$10:$A$10,0),MATCH(Pathways!$C34,PNW_solar_cost_data!$C$9:$AL$9,0))*(1/(L$22*8.76))</f>
        <v>18.782799628566927</v>
      </c>
      <c r="M34" s="116">
        <f>INDEX(PNW_solar_cost_data!$C$10:$AG$10,MATCH(Pathways!M$16,PNW_solar_cost_data!$A$10:$A$10,0),MATCH(Pathways!$C34,PNW_solar_cost_data!$C$9:$AL$9,0))*(1/(M$22*8.76))</f>
        <v>18.782799628566927</v>
      </c>
      <c r="N34" s="116">
        <f>INDEX(PNW_solar_cost_data!$C$10:$AG$10,MATCH(Pathways!N$16,PNW_solar_cost_data!$A$10:$A$10,0),MATCH(Pathways!$C34,PNW_solar_cost_data!$C$9:$AL$9,0))*(1/(N$22*8.76))</f>
        <v>18.782799628566927</v>
      </c>
      <c r="O34" s="116">
        <f>INDEX(PNW_solar_cost_data!$C$10:$AG$10,MATCH(Pathways!O$16,PNW_solar_cost_data!$A$10:$A$10,0),MATCH(Pathways!$C34,PNW_solar_cost_data!$C$9:$AL$9,0))*(1/(O$22*8.76))</f>
        <v>18.782799628566927</v>
      </c>
      <c r="P34" s="116">
        <f>INDEX(PNW_solar_cost_data!$C$10:$AG$10,MATCH(Pathways!P$16,PNW_solar_cost_data!$A$10:$A$10,0),MATCH(Pathways!$C34,PNW_solar_cost_data!$C$9:$AL$9,0))*(1/(P$22*8.76))</f>
        <v>18.782799628566927</v>
      </c>
      <c r="Q34" s="116">
        <f>INDEX(PNW_solar_cost_data!$C$10:$AG$10,MATCH(Pathways!Q$16,PNW_solar_cost_data!$A$10:$A$10,0),MATCH(Pathways!$C34,PNW_solar_cost_data!$C$9:$AL$9,0))*(1/(Q$22*8.76))</f>
        <v>18.782799628566927</v>
      </c>
      <c r="R34" s="116">
        <f>INDEX(PNW_solar_cost_data!$C$10:$AG$10,MATCH(Pathways!R$16,PNW_solar_cost_data!$A$10:$A$10,0),MATCH(Pathways!$C34,PNW_solar_cost_data!$C$9:$AL$9,0))*(1/(R$22*8.76))</f>
        <v>18.782799628566927</v>
      </c>
      <c r="T34" s="116">
        <f>INDEX(PNW_solar_cost_data!$C$10:$AG$10,MATCH(Pathways!T$16,PNW_solar_cost_data!$A$10:$A$10,0),MATCH(Pathways!$C34,PNW_solar_cost_data!$C$9:$AL$9,0))*(1/(T$22*8.76))</f>
        <v>18.782799628566927</v>
      </c>
      <c r="U34" s="116">
        <f>INDEX(PNW_solar_cost_data!$C$10:$AG$10,MATCH(Pathways!U$16,PNW_solar_cost_data!$A$10:$A$10,0),MATCH(Pathways!$C34,PNW_solar_cost_data!$C$9:$AL$9,0))*(1/(U$22*8.76))</f>
        <v>18.782799628566927</v>
      </c>
      <c r="V34" s="116">
        <f>INDEX(PNW_solar_cost_data!$C$10:$AG$10,MATCH(Pathways!V$16,PNW_solar_cost_data!$A$10:$A$10,0),MATCH(Pathways!$C34,PNW_solar_cost_data!$C$9:$AL$9,0))*(1/(V$22*8.76))</f>
        <v>18.782799628566927</v>
      </c>
      <c r="W34" s="116">
        <f>INDEX(PNW_solar_cost_data!$C$10:$AG$10,MATCH(Pathways!W$16,PNW_solar_cost_data!$A$10:$A$10,0),MATCH(Pathways!$C34,PNW_solar_cost_data!$C$9:$AL$9,0))*(1/(W$22*8.76))</f>
        <v>18.782799628566927</v>
      </c>
      <c r="X34" s="116">
        <f>INDEX(PNW_solar_cost_data!$C$10:$AG$10,MATCH(Pathways!X$16,PNW_solar_cost_data!$A$10:$A$10,0),MATCH(Pathways!$C34,PNW_solar_cost_data!$C$9:$AL$9,0))*(1/(X$22*8.76))</f>
        <v>18.782799628566927</v>
      </c>
      <c r="Y34" s="116">
        <f>INDEX(PNW_solar_cost_data!$C$10:$AG$10,MATCH(Pathways!Y$16,PNW_solar_cost_data!$A$10:$A$10,0),MATCH(Pathways!$C34,PNW_solar_cost_data!$C$9:$AL$9,0))*(1/(Y$22*8.76))</f>
        <v>18.782799628566927</v>
      </c>
      <c r="Z34" s="116">
        <f>INDEX(PNW_solar_cost_data!$C$10:$AG$10,MATCH(Pathways!Z$16,PNW_solar_cost_data!$A$10:$A$10,0),MATCH(Pathways!$C34,PNW_solar_cost_data!$C$9:$AL$9,0))*(1/(Z$22*8.76))</f>
        <v>18.782799628566927</v>
      </c>
      <c r="AA34" s="16"/>
      <c r="AB34" s="200"/>
    </row>
    <row r="35" spans="1:28" ht="14" x14ac:dyDescent="0.25">
      <c r="B35" s="8"/>
      <c r="C35" s="159">
        <f t="shared" si="3"/>
        <v>2035</v>
      </c>
      <c r="D35" s="116">
        <f>INDEX(PNW_solar_cost_data!$C$10:$AG$10,MATCH(Pathways!D$16,PNW_solar_cost_data!$A$10:$A$10,0),MATCH(Pathways!$C35,PNW_solar_cost_data!$C$9:$AL$9,0))*(1/(D$22*8.76))</f>
        <v>17.69570200125143</v>
      </c>
      <c r="E35" s="116">
        <f>INDEX(PNW_solar_cost_data!$C$10:$AG$10,MATCH(Pathways!E$16,PNW_solar_cost_data!$A$10:$A$10,0),MATCH(Pathways!$C35,PNW_solar_cost_data!$C$9:$AL$9,0))*(1/(E$22*8.76))</f>
        <v>17.69570200125143</v>
      </c>
      <c r="F35" s="116">
        <f>INDEX(PNW_solar_cost_data!$C$10:$AG$10,MATCH(Pathways!F$16,PNW_solar_cost_data!$A$10:$A$10,0),MATCH(Pathways!$C35,PNW_solar_cost_data!$C$9:$AL$9,0))*(1/(F$22*8.76))</f>
        <v>17.69570200125143</v>
      </c>
      <c r="G35" s="116">
        <f>INDEX(PNW_solar_cost_data!$C$10:$AG$10,MATCH(Pathways!G$16,PNW_solar_cost_data!$A$10:$A$10,0),MATCH(Pathways!$C35,PNW_solar_cost_data!$C$9:$AL$9,0))*(1/(G$22*8.76))</f>
        <v>17.69570200125143</v>
      </c>
      <c r="H35" s="116">
        <f>INDEX(PNW_solar_cost_data!$C$10:$AG$10,MATCH(Pathways!H$16,PNW_solar_cost_data!$A$10:$A$10,0),MATCH(Pathways!$C35,PNW_solar_cost_data!$C$9:$AL$9,0))*(1/(H$22*8.76))</f>
        <v>17.69570200125143</v>
      </c>
      <c r="I35" s="116">
        <f>INDEX(PNW_solar_cost_data!$C$10:$AG$10,MATCH(Pathways!I$16,PNW_solar_cost_data!$A$10:$A$10,0),MATCH(Pathways!$C35,PNW_solar_cost_data!$C$9:$AL$9,0))*(1/(I$22*8.76))</f>
        <v>17.69570200125143</v>
      </c>
      <c r="J35" s="116">
        <f>INDEX(PNW_solar_cost_data!$C$10:$AG$10,MATCH(Pathways!J$16,PNW_solar_cost_data!$A$10:$A$10,0),MATCH(Pathways!$C35,PNW_solar_cost_data!$C$9:$AL$9,0))*(1/(J$22*8.76))</f>
        <v>17.69570200125143</v>
      </c>
      <c r="K35" s="16"/>
      <c r="L35" s="116">
        <f>INDEX(PNW_solar_cost_data!$C$10:$AG$10,MATCH(Pathways!L$16,PNW_solar_cost_data!$A$10:$A$10,0),MATCH(Pathways!$C35,PNW_solar_cost_data!$C$9:$AL$9,0))*(1/(L$22*8.76))</f>
        <v>17.69570200125143</v>
      </c>
      <c r="M35" s="116">
        <f>INDEX(PNW_solar_cost_data!$C$10:$AG$10,MATCH(Pathways!M$16,PNW_solar_cost_data!$A$10:$A$10,0),MATCH(Pathways!$C35,PNW_solar_cost_data!$C$9:$AL$9,0))*(1/(M$22*8.76))</f>
        <v>17.69570200125143</v>
      </c>
      <c r="N35" s="116">
        <f>INDEX(PNW_solar_cost_data!$C$10:$AG$10,MATCH(Pathways!N$16,PNW_solar_cost_data!$A$10:$A$10,0),MATCH(Pathways!$C35,PNW_solar_cost_data!$C$9:$AL$9,0))*(1/(N$22*8.76))</f>
        <v>17.69570200125143</v>
      </c>
      <c r="O35" s="116">
        <f>INDEX(PNW_solar_cost_data!$C$10:$AG$10,MATCH(Pathways!O$16,PNW_solar_cost_data!$A$10:$A$10,0),MATCH(Pathways!$C35,PNW_solar_cost_data!$C$9:$AL$9,0))*(1/(O$22*8.76))</f>
        <v>17.69570200125143</v>
      </c>
      <c r="P35" s="116">
        <f>INDEX(PNW_solar_cost_data!$C$10:$AG$10,MATCH(Pathways!P$16,PNW_solar_cost_data!$A$10:$A$10,0),MATCH(Pathways!$C35,PNW_solar_cost_data!$C$9:$AL$9,0))*(1/(P$22*8.76))</f>
        <v>17.69570200125143</v>
      </c>
      <c r="Q35" s="116">
        <f>INDEX(PNW_solar_cost_data!$C$10:$AG$10,MATCH(Pathways!Q$16,PNW_solar_cost_data!$A$10:$A$10,0),MATCH(Pathways!$C35,PNW_solar_cost_data!$C$9:$AL$9,0))*(1/(Q$22*8.76))</f>
        <v>17.69570200125143</v>
      </c>
      <c r="R35" s="116">
        <f>INDEX(PNW_solar_cost_data!$C$10:$AG$10,MATCH(Pathways!R$16,PNW_solar_cost_data!$A$10:$A$10,0),MATCH(Pathways!$C35,PNW_solar_cost_data!$C$9:$AL$9,0))*(1/(R$22*8.76))</f>
        <v>17.69570200125143</v>
      </c>
      <c r="T35" s="116">
        <f>INDEX(PNW_solar_cost_data!$C$10:$AG$10,MATCH(Pathways!T$16,PNW_solar_cost_data!$A$10:$A$10,0),MATCH(Pathways!$C35,PNW_solar_cost_data!$C$9:$AL$9,0))*(1/(T$22*8.76))</f>
        <v>17.69570200125143</v>
      </c>
      <c r="U35" s="116">
        <f>INDEX(PNW_solar_cost_data!$C$10:$AG$10,MATCH(Pathways!U$16,PNW_solar_cost_data!$A$10:$A$10,0),MATCH(Pathways!$C35,PNW_solar_cost_data!$C$9:$AL$9,0))*(1/(U$22*8.76))</f>
        <v>17.69570200125143</v>
      </c>
      <c r="V35" s="116">
        <f>INDEX(PNW_solar_cost_data!$C$10:$AG$10,MATCH(Pathways!V$16,PNW_solar_cost_data!$A$10:$A$10,0),MATCH(Pathways!$C35,PNW_solar_cost_data!$C$9:$AL$9,0))*(1/(V$22*8.76))</f>
        <v>17.69570200125143</v>
      </c>
      <c r="W35" s="116">
        <f>INDEX(PNW_solar_cost_data!$C$10:$AG$10,MATCH(Pathways!W$16,PNW_solar_cost_data!$A$10:$A$10,0),MATCH(Pathways!$C35,PNW_solar_cost_data!$C$9:$AL$9,0))*(1/(W$22*8.76))</f>
        <v>17.69570200125143</v>
      </c>
      <c r="X35" s="116">
        <f>INDEX(PNW_solar_cost_data!$C$10:$AG$10,MATCH(Pathways!X$16,PNW_solar_cost_data!$A$10:$A$10,0),MATCH(Pathways!$C35,PNW_solar_cost_data!$C$9:$AL$9,0))*(1/(X$22*8.76))</f>
        <v>17.69570200125143</v>
      </c>
      <c r="Y35" s="116">
        <f>INDEX(PNW_solar_cost_data!$C$10:$AG$10,MATCH(Pathways!Y$16,PNW_solar_cost_data!$A$10:$A$10,0),MATCH(Pathways!$C35,PNW_solar_cost_data!$C$9:$AL$9,0))*(1/(Y$22*8.76))</f>
        <v>17.69570200125143</v>
      </c>
      <c r="Z35" s="116">
        <f>INDEX(PNW_solar_cost_data!$C$10:$AG$10,MATCH(Pathways!Z$16,PNW_solar_cost_data!$A$10:$A$10,0),MATCH(Pathways!$C35,PNW_solar_cost_data!$C$9:$AL$9,0))*(1/(Z$22*8.76))</f>
        <v>17.69570200125143</v>
      </c>
      <c r="AA35" s="16"/>
      <c r="AB35" s="200"/>
    </row>
    <row r="36" spans="1:28" ht="14" x14ac:dyDescent="0.25">
      <c r="B36" s="8"/>
      <c r="C36" s="159">
        <f t="shared" si="3"/>
        <v>2040</v>
      </c>
      <c r="D36" s="116">
        <f>INDEX(PNW_solar_cost_data!$C$10:$AG$10,MATCH(Pathways!D$16,PNW_solar_cost_data!$A$10:$A$10,0),MATCH(Pathways!$C36,PNW_solar_cost_data!$C$9:$AL$9,0))*(1/(D$22*8.76))</f>
        <v>16.608604373935929</v>
      </c>
      <c r="E36" s="116">
        <f>INDEX(PNW_solar_cost_data!$C$10:$AG$10,MATCH(Pathways!E$16,PNW_solar_cost_data!$A$10:$A$10,0),MATCH(Pathways!$C36,PNW_solar_cost_data!$C$9:$AL$9,0))*(1/(E$22*8.76))</f>
        <v>16.608604373935929</v>
      </c>
      <c r="F36" s="116">
        <f>INDEX(PNW_solar_cost_data!$C$10:$AG$10,MATCH(Pathways!F$16,PNW_solar_cost_data!$A$10:$A$10,0),MATCH(Pathways!$C36,PNW_solar_cost_data!$C$9:$AL$9,0))*(1/(F$22*8.76))</f>
        <v>16.608604373935929</v>
      </c>
      <c r="G36" s="116">
        <f>INDEX(PNW_solar_cost_data!$C$10:$AG$10,MATCH(Pathways!G$16,PNW_solar_cost_data!$A$10:$A$10,0),MATCH(Pathways!$C36,PNW_solar_cost_data!$C$9:$AL$9,0))*(1/(G$22*8.76))</f>
        <v>16.608604373935929</v>
      </c>
      <c r="H36" s="116">
        <f>INDEX(PNW_solar_cost_data!$C$10:$AG$10,MATCH(Pathways!H$16,PNW_solar_cost_data!$A$10:$A$10,0),MATCH(Pathways!$C36,PNW_solar_cost_data!$C$9:$AL$9,0))*(1/(H$22*8.76))</f>
        <v>16.608604373935929</v>
      </c>
      <c r="I36" s="116">
        <f>INDEX(PNW_solar_cost_data!$C$10:$AG$10,MATCH(Pathways!I$16,PNW_solar_cost_data!$A$10:$A$10,0),MATCH(Pathways!$C36,PNW_solar_cost_data!$C$9:$AL$9,0))*(1/(I$22*8.76))</f>
        <v>16.608604373935929</v>
      </c>
      <c r="J36" s="116">
        <f>INDEX(PNW_solar_cost_data!$C$10:$AG$10,MATCH(Pathways!J$16,PNW_solar_cost_data!$A$10:$A$10,0),MATCH(Pathways!$C36,PNW_solar_cost_data!$C$9:$AL$9,0))*(1/(J$22*8.76))</f>
        <v>16.608604373935929</v>
      </c>
      <c r="K36" s="16"/>
      <c r="L36" s="116">
        <f>INDEX(PNW_solar_cost_data!$C$10:$AG$10,MATCH(Pathways!L$16,PNW_solar_cost_data!$A$10:$A$10,0),MATCH(Pathways!$C36,PNW_solar_cost_data!$C$9:$AL$9,0))*(1/(L$22*8.76))</f>
        <v>16.608604373935929</v>
      </c>
      <c r="M36" s="116">
        <f>INDEX(PNW_solar_cost_data!$C$10:$AG$10,MATCH(Pathways!M$16,PNW_solar_cost_data!$A$10:$A$10,0),MATCH(Pathways!$C36,PNW_solar_cost_data!$C$9:$AL$9,0))*(1/(M$22*8.76))</f>
        <v>16.608604373935929</v>
      </c>
      <c r="N36" s="116">
        <f>INDEX(PNW_solar_cost_data!$C$10:$AG$10,MATCH(Pathways!N$16,PNW_solar_cost_data!$A$10:$A$10,0),MATCH(Pathways!$C36,PNW_solar_cost_data!$C$9:$AL$9,0))*(1/(N$22*8.76))</f>
        <v>16.608604373935929</v>
      </c>
      <c r="O36" s="116">
        <f>INDEX(PNW_solar_cost_data!$C$10:$AG$10,MATCH(Pathways!O$16,PNW_solar_cost_data!$A$10:$A$10,0),MATCH(Pathways!$C36,PNW_solar_cost_data!$C$9:$AL$9,0))*(1/(O$22*8.76))</f>
        <v>16.608604373935929</v>
      </c>
      <c r="P36" s="116">
        <f>INDEX(PNW_solar_cost_data!$C$10:$AG$10,MATCH(Pathways!P$16,PNW_solar_cost_data!$A$10:$A$10,0),MATCH(Pathways!$C36,PNW_solar_cost_data!$C$9:$AL$9,0))*(1/(P$22*8.76))</f>
        <v>16.608604373935929</v>
      </c>
      <c r="Q36" s="116">
        <f>INDEX(PNW_solar_cost_data!$C$10:$AG$10,MATCH(Pathways!Q$16,PNW_solar_cost_data!$A$10:$A$10,0),MATCH(Pathways!$C36,PNW_solar_cost_data!$C$9:$AL$9,0))*(1/(Q$22*8.76))</f>
        <v>16.608604373935929</v>
      </c>
      <c r="R36" s="116">
        <f>INDEX(PNW_solar_cost_data!$C$10:$AG$10,MATCH(Pathways!R$16,PNW_solar_cost_data!$A$10:$A$10,0),MATCH(Pathways!$C36,PNW_solar_cost_data!$C$9:$AL$9,0))*(1/(R$22*8.76))</f>
        <v>16.608604373935929</v>
      </c>
      <c r="T36" s="116">
        <f>INDEX(PNW_solar_cost_data!$C$10:$AG$10,MATCH(Pathways!T$16,PNW_solar_cost_data!$A$10:$A$10,0),MATCH(Pathways!$C36,PNW_solar_cost_data!$C$9:$AL$9,0))*(1/(T$22*8.76))</f>
        <v>16.608604373935929</v>
      </c>
      <c r="U36" s="116">
        <f>INDEX(PNW_solar_cost_data!$C$10:$AG$10,MATCH(Pathways!U$16,PNW_solar_cost_data!$A$10:$A$10,0),MATCH(Pathways!$C36,PNW_solar_cost_data!$C$9:$AL$9,0))*(1/(U$22*8.76))</f>
        <v>16.608604373935929</v>
      </c>
      <c r="V36" s="116">
        <f>INDEX(PNW_solar_cost_data!$C$10:$AG$10,MATCH(Pathways!V$16,PNW_solar_cost_data!$A$10:$A$10,0),MATCH(Pathways!$C36,PNW_solar_cost_data!$C$9:$AL$9,0))*(1/(V$22*8.76))</f>
        <v>16.608604373935929</v>
      </c>
      <c r="W36" s="116">
        <f>INDEX(PNW_solar_cost_data!$C$10:$AG$10,MATCH(Pathways!W$16,PNW_solar_cost_data!$A$10:$A$10,0),MATCH(Pathways!$C36,PNW_solar_cost_data!$C$9:$AL$9,0))*(1/(W$22*8.76))</f>
        <v>16.608604373935929</v>
      </c>
      <c r="X36" s="116">
        <f>INDEX(PNW_solar_cost_data!$C$10:$AG$10,MATCH(Pathways!X$16,PNW_solar_cost_data!$A$10:$A$10,0),MATCH(Pathways!$C36,PNW_solar_cost_data!$C$9:$AL$9,0))*(1/(X$22*8.76))</f>
        <v>16.608604373935929</v>
      </c>
      <c r="Y36" s="116">
        <f>INDEX(PNW_solar_cost_data!$C$10:$AG$10,MATCH(Pathways!Y$16,PNW_solar_cost_data!$A$10:$A$10,0),MATCH(Pathways!$C36,PNW_solar_cost_data!$C$9:$AL$9,0))*(1/(Y$22*8.76))</f>
        <v>16.608604373935929</v>
      </c>
      <c r="Z36" s="116">
        <f>INDEX(PNW_solar_cost_data!$C$10:$AG$10,MATCH(Pathways!Z$16,PNW_solar_cost_data!$A$10:$A$10,0),MATCH(Pathways!$C36,PNW_solar_cost_data!$C$9:$AL$9,0))*(1/(Z$22*8.76))</f>
        <v>16.608604373935929</v>
      </c>
      <c r="AA36" s="16"/>
      <c r="AB36" s="200"/>
    </row>
    <row r="37" spans="1:28" ht="14" x14ac:dyDescent="0.25">
      <c r="B37" s="8"/>
      <c r="C37" s="159">
        <f t="shared" si="3"/>
        <v>2045</v>
      </c>
      <c r="D37" s="116">
        <f>INDEX(PNW_solar_cost_data!$C$10:$AG$10,MATCH(Pathways!D$16,PNW_solar_cost_data!$A$10:$A$10,0),MATCH(Pathways!$C37,PNW_solar_cost_data!$C$9:$AL$9,0))*(1/(D$22*8.76))</f>
        <v>15.521506746620426</v>
      </c>
      <c r="E37" s="116">
        <f>INDEX(PNW_solar_cost_data!$C$10:$AG$10,MATCH(Pathways!E$16,PNW_solar_cost_data!$A$10:$A$10,0),MATCH(Pathways!$C37,PNW_solar_cost_data!$C$9:$AL$9,0))*(1/(E$22*8.76))</f>
        <v>15.521506746620426</v>
      </c>
      <c r="F37" s="116">
        <f>INDEX(PNW_solar_cost_data!$C$10:$AG$10,MATCH(Pathways!F$16,PNW_solar_cost_data!$A$10:$A$10,0),MATCH(Pathways!$C37,PNW_solar_cost_data!$C$9:$AL$9,0))*(1/(F$22*8.76))</f>
        <v>15.521506746620426</v>
      </c>
      <c r="G37" s="116">
        <f>INDEX(PNW_solar_cost_data!$C$10:$AG$10,MATCH(Pathways!G$16,PNW_solar_cost_data!$A$10:$A$10,0),MATCH(Pathways!$C37,PNW_solar_cost_data!$C$9:$AL$9,0))*(1/(G$22*8.76))</f>
        <v>15.521506746620426</v>
      </c>
      <c r="H37" s="116">
        <f>INDEX(PNW_solar_cost_data!$C$10:$AG$10,MATCH(Pathways!H$16,PNW_solar_cost_data!$A$10:$A$10,0),MATCH(Pathways!$C37,PNW_solar_cost_data!$C$9:$AL$9,0))*(1/(H$22*8.76))</f>
        <v>15.521506746620426</v>
      </c>
      <c r="I37" s="116">
        <f>INDEX(PNW_solar_cost_data!$C$10:$AG$10,MATCH(Pathways!I$16,PNW_solar_cost_data!$A$10:$A$10,0),MATCH(Pathways!$C37,PNW_solar_cost_data!$C$9:$AL$9,0))*(1/(I$22*8.76))</f>
        <v>15.521506746620426</v>
      </c>
      <c r="J37" s="116">
        <f>INDEX(PNW_solar_cost_data!$C$10:$AG$10,MATCH(Pathways!J$16,PNW_solar_cost_data!$A$10:$A$10,0),MATCH(Pathways!$C37,PNW_solar_cost_data!$C$9:$AL$9,0))*(1/(J$22*8.76))</f>
        <v>15.521506746620426</v>
      </c>
      <c r="K37" s="16"/>
      <c r="L37" s="116">
        <f>INDEX(PNW_solar_cost_data!$C$10:$AG$10,MATCH(Pathways!L$16,PNW_solar_cost_data!$A$10:$A$10,0),MATCH(Pathways!$C37,PNW_solar_cost_data!$C$9:$AL$9,0))*(1/(L$22*8.76))</f>
        <v>15.521506746620426</v>
      </c>
      <c r="M37" s="116">
        <f>INDEX(PNW_solar_cost_data!$C$10:$AG$10,MATCH(Pathways!M$16,PNW_solar_cost_data!$A$10:$A$10,0),MATCH(Pathways!$C37,PNW_solar_cost_data!$C$9:$AL$9,0))*(1/(M$22*8.76))</f>
        <v>15.521506746620426</v>
      </c>
      <c r="N37" s="116">
        <f>INDEX(PNW_solar_cost_data!$C$10:$AG$10,MATCH(Pathways!N$16,PNW_solar_cost_data!$A$10:$A$10,0),MATCH(Pathways!$C37,PNW_solar_cost_data!$C$9:$AL$9,0))*(1/(N$22*8.76))</f>
        <v>15.521506746620426</v>
      </c>
      <c r="O37" s="116">
        <f>INDEX(PNW_solar_cost_data!$C$10:$AG$10,MATCH(Pathways!O$16,PNW_solar_cost_data!$A$10:$A$10,0),MATCH(Pathways!$C37,PNW_solar_cost_data!$C$9:$AL$9,0))*(1/(O$22*8.76))</f>
        <v>15.521506746620426</v>
      </c>
      <c r="P37" s="116">
        <f>INDEX(PNW_solar_cost_data!$C$10:$AG$10,MATCH(Pathways!P$16,PNW_solar_cost_data!$A$10:$A$10,0),MATCH(Pathways!$C37,PNW_solar_cost_data!$C$9:$AL$9,0))*(1/(P$22*8.76))</f>
        <v>15.521506746620426</v>
      </c>
      <c r="Q37" s="116">
        <f>INDEX(PNW_solar_cost_data!$C$10:$AG$10,MATCH(Pathways!Q$16,PNW_solar_cost_data!$A$10:$A$10,0),MATCH(Pathways!$C37,PNW_solar_cost_data!$C$9:$AL$9,0))*(1/(Q$22*8.76))</f>
        <v>15.521506746620426</v>
      </c>
      <c r="R37" s="116">
        <f>INDEX(PNW_solar_cost_data!$C$10:$AG$10,MATCH(Pathways!R$16,PNW_solar_cost_data!$A$10:$A$10,0),MATCH(Pathways!$C37,PNW_solar_cost_data!$C$9:$AL$9,0))*(1/(R$22*8.76))</f>
        <v>15.521506746620426</v>
      </c>
      <c r="T37" s="116">
        <f>INDEX(PNW_solar_cost_data!$C$10:$AG$10,MATCH(Pathways!T$16,PNW_solar_cost_data!$A$10:$A$10,0),MATCH(Pathways!$C37,PNW_solar_cost_data!$C$9:$AL$9,0))*(1/(T$22*8.76))</f>
        <v>15.521506746620426</v>
      </c>
      <c r="U37" s="116">
        <f>INDEX(PNW_solar_cost_data!$C$10:$AG$10,MATCH(Pathways!U$16,PNW_solar_cost_data!$A$10:$A$10,0),MATCH(Pathways!$C37,PNW_solar_cost_data!$C$9:$AL$9,0))*(1/(U$22*8.76))</f>
        <v>15.521506746620426</v>
      </c>
      <c r="V37" s="116">
        <f>INDEX(PNW_solar_cost_data!$C$10:$AG$10,MATCH(Pathways!V$16,PNW_solar_cost_data!$A$10:$A$10,0),MATCH(Pathways!$C37,PNW_solar_cost_data!$C$9:$AL$9,0))*(1/(V$22*8.76))</f>
        <v>15.521506746620426</v>
      </c>
      <c r="W37" s="116">
        <f>INDEX(PNW_solar_cost_data!$C$10:$AG$10,MATCH(Pathways!W$16,PNW_solar_cost_data!$A$10:$A$10,0),MATCH(Pathways!$C37,PNW_solar_cost_data!$C$9:$AL$9,0))*(1/(W$22*8.76))</f>
        <v>15.521506746620426</v>
      </c>
      <c r="X37" s="116">
        <f>INDEX(PNW_solar_cost_data!$C$10:$AG$10,MATCH(Pathways!X$16,PNW_solar_cost_data!$A$10:$A$10,0),MATCH(Pathways!$C37,PNW_solar_cost_data!$C$9:$AL$9,0))*(1/(X$22*8.76))</f>
        <v>15.521506746620426</v>
      </c>
      <c r="Y37" s="116">
        <f>INDEX(PNW_solar_cost_data!$C$10:$AG$10,MATCH(Pathways!Y$16,PNW_solar_cost_data!$A$10:$A$10,0),MATCH(Pathways!$C37,PNW_solar_cost_data!$C$9:$AL$9,0))*(1/(Y$22*8.76))</f>
        <v>15.521506746620426</v>
      </c>
      <c r="Z37" s="116">
        <f>INDEX(PNW_solar_cost_data!$C$10:$AG$10,MATCH(Pathways!Z$16,PNW_solar_cost_data!$A$10:$A$10,0),MATCH(Pathways!$C37,PNW_solar_cost_data!$C$9:$AL$9,0))*(1/(Z$22*8.76))</f>
        <v>15.521506746620426</v>
      </c>
      <c r="AA37" s="16"/>
      <c r="AB37" s="200"/>
    </row>
    <row r="38" spans="1:28" ht="14" x14ac:dyDescent="0.25">
      <c r="B38" s="8"/>
      <c r="C38" s="159">
        <f t="shared" si="3"/>
        <v>2050</v>
      </c>
      <c r="D38" s="116">
        <f>INDEX(PNW_solar_cost_data!$C$10:$AG$10,MATCH(Pathways!D$16,PNW_solar_cost_data!$A$10:$A$10,0),MATCH(Pathways!$C38,PNW_solar_cost_data!$C$9:$AL$9,0))*(1/(D$22*8.76))</f>
        <v>14.434366426078391</v>
      </c>
      <c r="E38" s="116">
        <f>INDEX(PNW_solar_cost_data!$C$10:$AG$10,MATCH(Pathways!E$16,PNW_solar_cost_data!$A$10:$A$10,0),MATCH(Pathways!$C38,PNW_solar_cost_data!$C$9:$AL$9,0))*(1/(E$22*8.76))</f>
        <v>14.434366426078391</v>
      </c>
      <c r="F38" s="116">
        <f>INDEX(PNW_solar_cost_data!$C$10:$AG$10,MATCH(Pathways!F$16,PNW_solar_cost_data!$A$10:$A$10,0),MATCH(Pathways!$C38,PNW_solar_cost_data!$C$9:$AL$9,0))*(1/(F$22*8.76))</f>
        <v>14.434366426078391</v>
      </c>
      <c r="G38" s="116">
        <f>INDEX(PNW_solar_cost_data!$C$10:$AG$10,MATCH(Pathways!G$16,PNW_solar_cost_data!$A$10:$A$10,0),MATCH(Pathways!$C38,PNW_solar_cost_data!$C$9:$AL$9,0))*(1/(G$22*8.76))</f>
        <v>14.434366426078391</v>
      </c>
      <c r="H38" s="116">
        <f>INDEX(PNW_solar_cost_data!$C$10:$AG$10,MATCH(Pathways!H$16,PNW_solar_cost_data!$A$10:$A$10,0),MATCH(Pathways!$C38,PNW_solar_cost_data!$C$9:$AL$9,0))*(1/(H$22*8.76))</f>
        <v>14.434366426078391</v>
      </c>
      <c r="I38" s="116">
        <f>INDEX(PNW_solar_cost_data!$C$10:$AG$10,MATCH(Pathways!I$16,PNW_solar_cost_data!$A$10:$A$10,0),MATCH(Pathways!$C38,PNW_solar_cost_data!$C$9:$AL$9,0))*(1/(I$22*8.76))</f>
        <v>14.434366426078391</v>
      </c>
      <c r="J38" s="116">
        <f>INDEX(PNW_solar_cost_data!$C$10:$AG$10,MATCH(Pathways!J$16,PNW_solar_cost_data!$A$10:$A$10,0),MATCH(Pathways!$C38,PNW_solar_cost_data!$C$9:$AL$9,0))*(1/(J$22*8.76))</f>
        <v>14.434366426078391</v>
      </c>
      <c r="K38" s="16"/>
      <c r="L38" s="116">
        <f>INDEX(PNW_solar_cost_data!$C$10:$AG$10,MATCH(Pathways!L$16,PNW_solar_cost_data!$A$10:$A$10,0),MATCH(Pathways!$C38,PNW_solar_cost_data!$C$9:$AL$9,0))*(1/(L$22*8.76))</f>
        <v>14.434366426078391</v>
      </c>
      <c r="M38" s="116">
        <f>INDEX(PNW_solar_cost_data!$C$10:$AG$10,MATCH(Pathways!M$16,PNW_solar_cost_data!$A$10:$A$10,0),MATCH(Pathways!$C38,PNW_solar_cost_data!$C$9:$AL$9,0))*(1/(M$22*8.76))</f>
        <v>14.434366426078391</v>
      </c>
      <c r="N38" s="116">
        <f>INDEX(PNW_solar_cost_data!$C$10:$AG$10,MATCH(Pathways!N$16,PNW_solar_cost_data!$A$10:$A$10,0),MATCH(Pathways!$C38,PNW_solar_cost_data!$C$9:$AL$9,0))*(1/(N$22*8.76))</f>
        <v>14.434366426078391</v>
      </c>
      <c r="O38" s="116">
        <f>INDEX(PNW_solar_cost_data!$C$10:$AG$10,MATCH(Pathways!O$16,PNW_solar_cost_data!$A$10:$A$10,0),MATCH(Pathways!$C38,PNW_solar_cost_data!$C$9:$AL$9,0))*(1/(O$22*8.76))</f>
        <v>14.434366426078391</v>
      </c>
      <c r="P38" s="116">
        <f>INDEX(PNW_solar_cost_data!$C$10:$AG$10,MATCH(Pathways!P$16,PNW_solar_cost_data!$A$10:$A$10,0),MATCH(Pathways!$C38,PNW_solar_cost_data!$C$9:$AL$9,0))*(1/(P$22*8.76))</f>
        <v>14.434366426078391</v>
      </c>
      <c r="Q38" s="116">
        <f>INDEX(PNW_solar_cost_data!$C$10:$AG$10,MATCH(Pathways!Q$16,PNW_solar_cost_data!$A$10:$A$10,0),MATCH(Pathways!$C38,PNW_solar_cost_data!$C$9:$AL$9,0))*(1/(Q$22*8.76))</f>
        <v>14.434366426078391</v>
      </c>
      <c r="R38" s="116">
        <f>INDEX(PNW_solar_cost_data!$C$10:$AG$10,MATCH(Pathways!R$16,PNW_solar_cost_data!$A$10:$A$10,0),MATCH(Pathways!$C38,PNW_solar_cost_data!$C$9:$AL$9,0))*(1/(R$22*8.76))</f>
        <v>14.434366426078391</v>
      </c>
      <c r="T38" s="116">
        <f>INDEX(PNW_solar_cost_data!$C$10:$AG$10,MATCH(Pathways!T$16,PNW_solar_cost_data!$A$10:$A$10,0),MATCH(Pathways!$C38,PNW_solar_cost_data!$C$9:$AL$9,0))*(1/(T$22*8.76))</f>
        <v>14.434366426078391</v>
      </c>
      <c r="U38" s="116">
        <f>INDEX(PNW_solar_cost_data!$C$10:$AG$10,MATCH(Pathways!U$16,PNW_solar_cost_data!$A$10:$A$10,0),MATCH(Pathways!$C38,PNW_solar_cost_data!$C$9:$AL$9,0))*(1/(U$22*8.76))</f>
        <v>14.434366426078391</v>
      </c>
      <c r="V38" s="116">
        <f>INDEX(PNW_solar_cost_data!$C$10:$AG$10,MATCH(Pathways!V$16,PNW_solar_cost_data!$A$10:$A$10,0),MATCH(Pathways!$C38,PNW_solar_cost_data!$C$9:$AL$9,0))*(1/(V$22*8.76))</f>
        <v>14.434366426078391</v>
      </c>
      <c r="W38" s="116">
        <f>INDEX(PNW_solar_cost_data!$C$10:$AG$10,MATCH(Pathways!W$16,PNW_solar_cost_data!$A$10:$A$10,0),MATCH(Pathways!$C38,PNW_solar_cost_data!$C$9:$AL$9,0))*(1/(W$22*8.76))</f>
        <v>14.434366426078391</v>
      </c>
      <c r="X38" s="116">
        <f>INDEX(PNW_solar_cost_data!$C$10:$AG$10,MATCH(Pathways!X$16,PNW_solar_cost_data!$A$10:$A$10,0),MATCH(Pathways!$C38,PNW_solar_cost_data!$C$9:$AL$9,0))*(1/(X$22*8.76))</f>
        <v>14.434366426078391</v>
      </c>
      <c r="Y38" s="116">
        <f>INDEX(PNW_solar_cost_data!$C$10:$AG$10,MATCH(Pathways!Y$16,PNW_solar_cost_data!$A$10:$A$10,0),MATCH(Pathways!$C38,PNW_solar_cost_data!$C$9:$AL$9,0))*(1/(Y$22*8.76))</f>
        <v>14.434366426078391</v>
      </c>
      <c r="Z38" s="116">
        <f>INDEX(PNW_solar_cost_data!$C$10:$AG$10,MATCH(Pathways!Z$16,PNW_solar_cost_data!$A$10:$A$10,0),MATCH(Pathways!$C38,PNW_solar_cost_data!$C$9:$AL$9,0))*(1/(Z$22*8.76))</f>
        <v>14.434366426078391</v>
      </c>
      <c r="AA38" s="16"/>
      <c r="AB38" s="201"/>
    </row>
    <row r="39" spans="1:28" x14ac:dyDescent="0.25">
      <c r="B39" s="8"/>
      <c r="AA39" s="8"/>
    </row>
    <row r="40" spans="1:28" s="91" customFormat="1" ht="17" thickBot="1" x14ac:dyDescent="0.3">
      <c r="A40" s="8"/>
      <c r="B40" s="91" t="s">
        <v>79</v>
      </c>
      <c r="C40" s="161"/>
      <c r="D40" s="101"/>
      <c r="E40" s="101"/>
      <c r="F40" s="101"/>
      <c r="G40" s="101"/>
      <c r="H40" s="101"/>
      <c r="I40" s="101"/>
      <c r="J40" s="101"/>
      <c r="L40" s="101"/>
      <c r="M40" s="101"/>
      <c r="N40" s="101"/>
      <c r="O40" s="101"/>
      <c r="P40" s="101"/>
      <c r="Q40" s="101"/>
      <c r="R40" s="101"/>
      <c r="S40" s="98"/>
      <c r="T40" s="101"/>
      <c r="U40" s="101"/>
      <c r="V40" s="101"/>
      <c r="W40" s="101"/>
      <c r="X40" s="101"/>
      <c r="Y40" s="101"/>
      <c r="Z40" s="101"/>
      <c r="AB40" s="198"/>
    </row>
    <row r="41" spans="1:28" x14ac:dyDescent="0.25">
      <c r="B41" s="8"/>
      <c r="AA41" s="8"/>
    </row>
    <row r="42" spans="1:28" ht="14" x14ac:dyDescent="0.25">
      <c r="B42" s="8"/>
      <c r="C42" s="159">
        <v>2020</v>
      </c>
      <c r="D42" s="116">
        <f t="shared" ref="D42:J42" si="4">D32</f>
        <v>25.719424303417231</v>
      </c>
      <c r="E42" s="116">
        <f t="shared" si="4"/>
        <v>25.719424303417231</v>
      </c>
      <c r="F42" s="116">
        <f t="shared" si="4"/>
        <v>25.719424303417231</v>
      </c>
      <c r="G42" s="116">
        <f t="shared" si="4"/>
        <v>25.719424303417231</v>
      </c>
      <c r="H42" s="116">
        <f t="shared" si="4"/>
        <v>25.719424303417231</v>
      </c>
      <c r="I42" s="116">
        <f t="shared" si="4"/>
        <v>25.719424303417231</v>
      </c>
      <c r="J42" s="116">
        <f t="shared" si="4"/>
        <v>25.719424303417231</v>
      </c>
      <c r="K42" s="16"/>
      <c r="L42" s="116">
        <f t="shared" ref="L42:R42" si="5">L32</f>
        <v>25.719424303417231</v>
      </c>
      <c r="M42" s="116">
        <f t="shared" si="5"/>
        <v>25.719424303417231</v>
      </c>
      <c r="N42" s="116">
        <f t="shared" si="5"/>
        <v>25.719424303417231</v>
      </c>
      <c r="O42" s="116">
        <f t="shared" si="5"/>
        <v>25.719424303417231</v>
      </c>
      <c r="P42" s="116">
        <f t="shared" si="5"/>
        <v>25.719424303417231</v>
      </c>
      <c r="Q42" s="116">
        <f t="shared" si="5"/>
        <v>25.719424303417231</v>
      </c>
      <c r="R42" s="116">
        <f t="shared" si="5"/>
        <v>25.719424303417231</v>
      </c>
      <c r="T42" s="116">
        <f>T32</f>
        <v>25.719424303417231</v>
      </c>
      <c r="U42" s="116">
        <f t="shared" ref="U42:Z42" si="6">U32</f>
        <v>25.719424303417231</v>
      </c>
      <c r="V42" s="116">
        <f t="shared" si="6"/>
        <v>25.719424303417231</v>
      </c>
      <c r="W42" s="116">
        <f t="shared" si="6"/>
        <v>25.719424303417231</v>
      </c>
      <c r="X42" s="116">
        <f t="shared" si="6"/>
        <v>25.719424303417231</v>
      </c>
      <c r="Y42" s="116">
        <f t="shared" si="6"/>
        <v>25.719424303417231</v>
      </c>
      <c r="Z42" s="116">
        <f t="shared" si="6"/>
        <v>25.719424303417231</v>
      </c>
      <c r="AA42" s="16"/>
      <c r="AB42" s="199" t="s">
        <v>80</v>
      </c>
    </row>
    <row r="43" spans="1:28" ht="14" x14ac:dyDescent="0.25">
      <c r="B43" s="8"/>
      <c r="C43" s="159">
        <f t="shared" ref="C43:C48" si="7">C42+5</f>
        <v>2025</v>
      </c>
      <c r="D43" s="116">
        <f t="shared" ref="D43:J48" si="8">D33</f>
        <v>19.646953226905421</v>
      </c>
      <c r="E43" s="116">
        <f t="shared" si="8"/>
        <v>19.646953226905421</v>
      </c>
      <c r="F43" s="116">
        <f t="shared" si="8"/>
        <v>19.646953226905421</v>
      </c>
      <c r="G43" s="116">
        <f t="shared" si="8"/>
        <v>19.646953226905421</v>
      </c>
      <c r="H43" s="116">
        <f t="shared" si="8"/>
        <v>19.646953226905421</v>
      </c>
      <c r="I43" s="116">
        <f t="shared" si="8"/>
        <v>19.646953226905421</v>
      </c>
      <c r="J43" s="116">
        <f t="shared" si="8"/>
        <v>19.646953226905421</v>
      </c>
      <c r="K43" s="16"/>
      <c r="L43" s="116">
        <f t="shared" ref="L43:R43" si="9">L33</f>
        <v>19.646953226905421</v>
      </c>
      <c r="M43" s="116">
        <f t="shared" si="9"/>
        <v>19.646953226905421</v>
      </c>
      <c r="N43" s="116">
        <f t="shared" si="9"/>
        <v>19.646953226905421</v>
      </c>
      <c r="O43" s="116">
        <f t="shared" si="9"/>
        <v>19.646953226905421</v>
      </c>
      <c r="P43" s="116">
        <f t="shared" si="9"/>
        <v>19.646953226905421</v>
      </c>
      <c r="Q43" s="116">
        <f t="shared" si="9"/>
        <v>19.646953226905421</v>
      </c>
      <c r="R43" s="116">
        <f t="shared" si="9"/>
        <v>19.646953226905421</v>
      </c>
      <c r="T43" s="116">
        <f t="shared" ref="T43:Z48" si="10">T33</f>
        <v>19.646953226905421</v>
      </c>
      <c r="U43" s="116">
        <f t="shared" si="10"/>
        <v>19.646953226905421</v>
      </c>
      <c r="V43" s="116">
        <f t="shared" si="10"/>
        <v>19.646953226905421</v>
      </c>
      <c r="W43" s="116">
        <f t="shared" si="10"/>
        <v>19.646953226905421</v>
      </c>
      <c r="X43" s="116">
        <f t="shared" si="10"/>
        <v>19.646953226905421</v>
      </c>
      <c r="Y43" s="116">
        <f t="shared" si="10"/>
        <v>19.646953226905421</v>
      </c>
      <c r="Z43" s="116">
        <f t="shared" si="10"/>
        <v>19.646953226905421</v>
      </c>
      <c r="AA43" s="16"/>
      <c r="AB43" s="200"/>
    </row>
    <row r="44" spans="1:28" ht="14" x14ac:dyDescent="0.25">
      <c r="B44" s="8"/>
      <c r="C44" s="159">
        <f t="shared" si="7"/>
        <v>2030</v>
      </c>
      <c r="D44" s="116">
        <f t="shared" si="8"/>
        <v>18.782799628566927</v>
      </c>
      <c r="E44" s="116">
        <f t="shared" si="8"/>
        <v>18.782799628566927</v>
      </c>
      <c r="F44" s="116">
        <f t="shared" si="8"/>
        <v>18.782799628566927</v>
      </c>
      <c r="G44" s="116">
        <f t="shared" si="8"/>
        <v>18.782799628566927</v>
      </c>
      <c r="H44" s="116">
        <f t="shared" si="8"/>
        <v>18.782799628566927</v>
      </c>
      <c r="I44" s="116">
        <f t="shared" si="8"/>
        <v>18.782799628566927</v>
      </c>
      <c r="J44" s="116">
        <f t="shared" si="8"/>
        <v>18.782799628566927</v>
      </c>
      <c r="K44" s="16"/>
      <c r="L44" s="116">
        <f t="shared" ref="L44:R44" si="11">L34</f>
        <v>18.782799628566927</v>
      </c>
      <c r="M44" s="116">
        <f t="shared" si="11"/>
        <v>18.782799628566927</v>
      </c>
      <c r="N44" s="116">
        <f t="shared" si="11"/>
        <v>18.782799628566927</v>
      </c>
      <c r="O44" s="116">
        <f t="shared" si="11"/>
        <v>18.782799628566927</v>
      </c>
      <c r="P44" s="116">
        <f t="shared" si="11"/>
        <v>18.782799628566927</v>
      </c>
      <c r="Q44" s="116">
        <f t="shared" si="11"/>
        <v>18.782799628566927</v>
      </c>
      <c r="R44" s="116">
        <f t="shared" si="11"/>
        <v>18.782799628566927</v>
      </c>
      <c r="T44" s="116">
        <f t="shared" si="10"/>
        <v>18.782799628566927</v>
      </c>
      <c r="U44" s="116">
        <f t="shared" si="10"/>
        <v>18.782799628566927</v>
      </c>
      <c r="V44" s="116">
        <f t="shared" si="10"/>
        <v>18.782799628566927</v>
      </c>
      <c r="W44" s="116">
        <f t="shared" si="10"/>
        <v>18.782799628566927</v>
      </c>
      <c r="X44" s="116">
        <f t="shared" si="10"/>
        <v>18.782799628566927</v>
      </c>
      <c r="Y44" s="116">
        <f t="shared" si="10"/>
        <v>18.782799628566927</v>
      </c>
      <c r="Z44" s="116">
        <f t="shared" si="10"/>
        <v>18.782799628566927</v>
      </c>
      <c r="AA44" s="16"/>
      <c r="AB44" s="200"/>
    </row>
    <row r="45" spans="1:28" ht="14" x14ac:dyDescent="0.25">
      <c r="B45" s="8"/>
      <c r="C45" s="159">
        <f t="shared" si="7"/>
        <v>2035</v>
      </c>
      <c r="D45" s="116">
        <f t="shared" si="8"/>
        <v>17.69570200125143</v>
      </c>
      <c r="E45" s="116">
        <f t="shared" si="8"/>
        <v>17.69570200125143</v>
      </c>
      <c r="F45" s="116">
        <f t="shared" si="8"/>
        <v>17.69570200125143</v>
      </c>
      <c r="G45" s="116">
        <f t="shared" si="8"/>
        <v>17.69570200125143</v>
      </c>
      <c r="H45" s="116">
        <f t="shared" si="8"/>
        <v>17.69570200125143</v>
      </c>
      <c r="I45" s="116">
        <f t="shared" si="8"/>
        <v>17.69570200125143</v>
      </c>
      <c r="J45" s="116">
        <f t="shared" si="8"/>
        <v>17.69570200125143</v>
      </c>
      <c r="K45" s="16"/>
      <c r="L45" s="116">
        <f t="shared" ref="L45:R45" si="12">L35</f>
        <v>17.69570200125143</v>
      </c>
      <c r="M45" s="116">
        <f t="shared" si="12"/>
        <v>17.69570200125143</v>
      </c>
      <c r="N45" s="116">
        <f t="shared" si="12"/>
        <v>17.69570200125143</v>
      </c>
      <c r="O45" s="116">
        <f t="shared" si="12"/>
        <v>17.69570200125143</v>
      </c>
      <c r="P45" s="116">
        <f t="shared" si="12"/>
        <v>17.69570200125143</v>
      </c>
      <c r="Q45" s="116">
        <f t="shared" si="12"/>
        <v>17.69570200125143</v>
      </c>
      <c r="R45" s="116">
        <f t="shared" si="12"/>
        <v>17.69570200125143</v>
      </c>
      <c r="T45" s="116">
        <f t="shared" si="10"/>
        <v>17.69570200125143</v>
      </c>
      <c r="U45" s="116">
        <f t="shared" si="10"/>
        <v>17.69570200125143</v>
      </c>
      <c r="V45" s="116">
        <f t="shared" si="10"/>
        <v>17.69570200125143</v>
      </c>
      <c r="W45" s="116">
        <f t="shared" si="10"/>
        <v>17.69570200125143</v>
      </c>
      <c r="X45" s="116">
        <f t="shared" si="10"/>
        <v>17.69570200125143</v>
      </c>
      <c r="Y45" s="116">
        <f t="shared" si="10"/>
        <v>17.69570200125143</v>
      </c>
      <c r="Z45" s="116">
        <f t="shared" si="10"/>
        <v>17.69570200125143</v>
      </c>
      <c r="AA45" s="16"/>
      <c r="AB45" s="200"/>
    </row>
    <row r="46" spans="1:28" ht="14" x14ac:dyDescent="0.25">
      <c r="B46" s="8"/>
      <c r="C46" s="159">
        <f t="shared" si="7"/>
        <v>2040</v>
      </c>
      <c r="D46" s="116">
        <f t="shared" si="8"/>
        <v>16.608604373935929</v>
      </c>
      <c r="E46" s="116">
        <f t="shared" si="8"/>
        <v>16.608604373935929</v>
      </c>
      <c r="F46" s="116">
        <f t="shared" si="8"/>
        <v>16.608604373935929</v>
      </c>
      <c r="G46" s="116">
        <f t="shared" si="8"/>
        <v>16.608604373935929</v>
      </c>
      <c r="H46" s="116">
        <f t="shared" si="8"/>
        <v>16.608604373935929</v>
      </c>
      <c r="I46" s="116">
        <f t="shared" si="8"/>
        <v>16.608604373935929</v>
      </c>
      <c r="J46" s="116">
        <f t="shared" si="8"/>
        <v>16.608604373935929</v>
      </c>
      <c r="K46" s="16"/>
      <c r="L46" s="116">
        <f t="shared" ref="L46:R46" si="13">L36</f>
        <v>16.608604373935929</v>
      </c>
      <c r="M46" s="116">
        <f t="shared" si="13"/>
        <v>16.608604373935929</v>
      </c>
      <c r="N46" s="116">
        <f t="shared" si="13"/>
        <v>16.608604373935929</v>
      </c>
      <c r="O46" s="116">
        <f t="shared" si="13"/>
        <v>16.608604373935929</v>
      </c>
      <c r="P46" s="116">
        <f t="shared" si="13"/>
        <v>16.608604373935929</v>
      </c>
      <c r="Q46" s="116">
        <f t="shared" si="13"/>
        <v>16.608604373935929</v>
      </c>
      <c r="R46" s="116">
        <f t="shared" si="13"/>
        <v>16.608604373935929</v>
      </c>
      <c r="T46" s="116">
        <f t="shared" si="10"/>
        <v>16.608604373935929</v>
      </c>
      <c r="U46" s="116">
        <f t="shared" si="10"/>
        <v>16.608604373935929</v>
      </c>
      <c r="V46" s="116">
        <f t="shared" si="10"/>
        <v>16.608604373935929</v>
      </c>
      <c r="W46" s="116">
        <f t="shared" si="10"/>
        <v>16.608604373935929</v>
      </c>
      <c r="X46" s="116">
        <f t="shared" si="10"/>
        <v>16.608604373935929</v>
      </c>
      <c r="Y46" s="116">
        <f t="shared" si="10"/>
        <v>16.608604373935929</v>
      </c>
      <c r="Z46" s="116">
        <f t="shared" si="10"/>
        <v>16.608604373935929</v>
      </c>
      <c r="AA46" s="16"/>
      <c r="AB46" s="200"/>
    </row>
    <row r="47" spans="1:28" ht="14" x14ac:dyDescent="0.25">
      <c r="B47" s="8"/>
      <c r="C47" s="159">
        <f t="shared" si="7"/>
        <v>2045</v>
      </c>
      <c r="D47" s="116">
        <f t="shared" si="8"/>
        <v>15.521506746620426</v>
      </c>
      <c r="E47" s="116">
        <f t="shared" si="8"/>
        <v>15.521506746620426</v>
      </c>
      <c r="F47" s="116">
        <f t="shared" si="8"/>
        <v>15.521506746620426</v>
      </c>
      <c r="G47" s="116">
        <f t="shared" si="8"/>
        <v>15.521506746620426</v>
      </c>
      <c r="H47" s="116">
        <f t="shared" si="8"/>
        <v>15.521506746620426</v>
      </c>
      <c r="I47" s="116">
        <f t="shared" si="8"/>
        <v>15.521506746620426</v>
      </c>
      <c r="J47" s="116">
        <f t="shared" si="8"/>
        <v>15.521506746620426</v>
      </c>
      <c r="K47" s="16"/>
      <c r="L47" s="116">
        <f t="shared" ref="L47:R47" si="14">L37</f>
        <v>15.521506746620426</v>
      </c>
      <c r="M47" s="116">
        <f t="shared" si="14"/>
        <v>15.521506746620426</v>
      </c>
      <c r="N47" s="116">
        <f t="shared" si="14"/>
        <v>15.521506746620426</v>
      </c>
      <c r="O47" s="116">
        <f t="shared" si="14"/>
        <v>15.521506746620426</v>
      </c>
      <c r="P47" s="116">
        <f t="shared" si="14"/>
        <v>15.521506746620426</v>
      </c>
      <c r="Q47" s="116">
        <f t="shared" si="14"/>
        <v>15.521506746620426</v>
      </c>
      <c r="R47" s="116">
        <f t="shared" si="14"/>
        <v>15.521506746620426</v>
      </c>
      <c r="T47" s="116">
        <f t="shared" si="10"/>
        <v>15.521506746620426</v>
      </c>
      <c r="U47" s="116">
        <f t="shared" si="10"/>
        <v>15.521506746620426</v>
      </c>
      <c r="V47" s="116">
        <f t="shared" si="10"/>
        <v>15.521506746620426</v>
      </c>
      <c r="W47" s="116">
        <f t="shared" si="10"/>
        <v>15.521506746620426</v>
      </c>
      <c r="X47" s="116">
        <f t="shared" si="10"/>
        <v>15.521506746620426</v>
      </c>
      <c r="Y47" s="116">
        <f t="shared" si="10"/>
        <v>15.521506746620426</v>
      </c>
      <c r="Z47" s="116">
        <f t="shared" si="10"/>
        <v>15.521506746620426</v>
      </c>
      <c r="AA47" s="16"/>
      <c r="AB47" s="200"/>
    </row>
    <row r="48" spans="1:28" ht="14" x14ac:dyDescent="0.25">
      <c r="B48" s="8"/>
      <c r="C48" s="159">
        <f t="shared" si="7"/>
        <v>2050</v>
      </c>
      <c r="D48" s="116">
        <f t="shared" si="8"/>
        <v>14.434366426078391</v>
      </c>
      <c r="E48" s="116">
        <f t="shared" si="8"/>
        <v>14.434366426078391</v>
      </c>
      <c r="F48" s="116">
        <f t="shared" si="8"/>
        <v>14.434366426078391</v>
      </c>
      <c r="G48" s="116">
        <f t="shared" si="8"/>
        <v>14.434366426078391</v>
      </c>
      <c r="H48" s="116">
        <f t="shared" si="8"/>
        <v>14.434366426078391</v>
      </c>
      <c r="I48" s="116">
        <f t="shared" si="8"/>
        <v>14.434366426078391</v>
      </c>
      <c r="J48" s="116">
        <f t="shared" si="8"/>
        <v>14.434366426078391</v>
      </c>
      <c r="K48" s="16"/>
      <c r="L48" s="116">
        <f t="shared" ref="L48:R48" si="15">L38</f>
        <v>14.434366426078391</v>
      </c>
      <c r="M48" s="116">
        <f t="shared" si="15"/>
        <v>14.434366426078391</v>
      </c>
      <c r="N48" s="116">
        <f t="shared" si="15"/>
        <v>14.434366426078391</v>
      </c>
      <c r="O48" s="116">
        <f t="shared" si="15"/>
        <v>14.434366426078391</v>
      </c>
      <c r="P48" s="116">
        <f t="shared" si="15"/>
        <v>14.434366426078391</v>
      </c>
      <c r="Q48" s="116">
        <f t="shared" si="15"/>
        <v>14.434366426078391</v>
      </c>
      <c r="R48" s="116">
        <f t="shared" si="15"/>
        <v>14.434366426078391</v>
      </c>
      <c r="T48" s="116">
        <f t="shared" si="10"/>
        <v>14.434366426078391</v>
      </c>
      <c r="U48" s="116">
        <f t="shared" si="10"/>
        <v>14.434366426078391</v>
      </c>
      <c r="V48" s="116">
        <f t="shared" si="10"/>
        <v>14.434366426078391</v>
      </c>
      <c r="W48" s="116">
        <f t="shared" si="10"/>
        <v>14.434366426078391</v>
      </c>
      <c r="X48" s="116">
        <f t="shared" si="10"/>
        <v>14.434366426078391</v>
      </c>
      <c r="Y48" s="116">
        <f t="shared" si="10"/>
        <v>14.434366426078391</v>
      </c>
      <c r="Z48" s="116">
        <f t="shared" si="10"/>
        <v>14.434366426078391</v>
      </c>
      <c r="AA48" s="16"/>
      <c r="AB48" s="201"/>
    </row>
    <row r="49" spans="1:28" x14ac:dyDescent="0.25">
      <c r="B49" s="8"/>
      <c r="AA49" s="8"/>
    </row>
    <row r="50" spans="1:28" s="91" customFormat="1" ht="17" thickBot="1" x14ac:dyDescent="0.3">
      <c r="A50" s="8"/>
      <c r="B50" s="91" t="s">
        <v>81</v>
      </c>
      <c r="C50" s="161"/>
      <c r="D50" s="101"/>
      <c r="E50" s="101"/>
      <c r="F50" s="101"/>
      <c r="G50" s="101"/>
      <c r="H50" s="101"/>
      <c r="I50" s="101"/>
      <c r="J50" s="101"/>
      <c r="L50" s="101"/>
      <c r="M50" s="101"/>
      <c r="N50" s="101"/>
      <c r="O50" s="101"/>
      <c r="P50" s="101"/>
      <c r="Q50" s="101"/>
      <c r="R50" s="101"/>
      <c r="S50" s="98"/>
      <c r="T50" s="101"/>
      <c r="U50" s="101"/>
      <c r="V50" s="101"/>
      <c r="W50" s="101"/>
      <c r="X50" s="101"/>
      <c r="Y50" s="101"/>
      <c r="Z50" s="101"/>
      <c r="AB50" s="198"/>
    </row>
    <row r="51" spans="1:28" x14ac:dyDescent="0.25">
      <c r="B51" s="8"/>
      <c r="AA51" s="8"/>
    </row>
    <row r="52" spans="1:28" ht="14" x14ac:dyDescent="0.25">
      <c r="B52" s="8"/>
      <c r="C52" s="159">
        <v>2020</v>
      </c>
      <c r="D52" s="133">
        <v>1263.8440261206979</v>
      </c>
      <c r="E52" s="133">
        <v>1263.8440261206979</v>
      </c>
      <c r="F52" s="133">
        <v>1263.8440261206979</v>
      </c>
      <c r="G52" s="133">
        <v>1263.8440261206979</v>
      </c>
      <c r="H52" s="133">
        <v>1263.8440261206979</v>
      </c>
      <c r="I52" s="133">
        <v>1263.8440261206979</v>
      </c>
      <c r="J52" s="133">
        <v>1263.8440261206979</v>
      </c>
      <c r="K52" s="16"/>
      <c r="L52" s="133">
        <v>1263.8440261206979</v>
      </c>
      <c r="M52" s="133">
        <v>1263.8440261206979</v>
      </c>
      <c r="N52" s="133">
        <v>1263.8440261206979</v>
      </c>
      <c r="O52" s="133">
        <v>1263.8440261206979</v>
      </c>
      <c r="P52" s="133">
        <v>1263.8440261206979</v>
      </c>
      <c r="Q52" s="133">
        <v>1263.8440261206979</v>
      </c>
      <c r="R52" s="133">
        <v>1263.8440261206979</v>
      </c>
      <c r="T52" s="133">
        <v>1263.8440261206979</v>
      </c>
      <c r="U52" s="133">
        <v>1263.8440261206979</v>
      </c>
      <c r="V52" s="133">
        <v>1263.8440261206979</v>
      </c>
      <c r="W52" s="133">
        <v>1263.8440261206979</v>
      </c>
      <c r="X52" s="133">
        <v>1263.8440261206979</v>
      </c>
      <c r="Y52" s="133">
        <v>1263.8440261206979</v>
      </c>
      <c r="Z52" s="133">
        <v>1263.8440261206979</v>
      </c>
      <c r="AA52" s="16"/>
      <c r="AB52" s="199" t="s">
        <v>82</v>
      </c>
    </row>
    <row r="53" spans="1:28" ht="14" x14ac:dyDescent="0.25">
      <c r="B53" s="8"/>
      <c r="C53" s="159">
        <f t="shared" ref="C53:C58" si="16">C52+5</f>
        <v>2025</v>
      </c>
      <c r="D53" s="133">
        <v>1027.4145623535953</v>
      </c>
      <c r="E53" s="133">
        <v>1027.4145623535953</v>
      </c>
      <c r="F53" s="133">
        <v>1027.4145623535953</v>
      </c>
      <c r="G53" s="133">
        <v>1027.4145623535953</v>
      </c>
      <c r="H53" s="133">
        <v>1027.4145623535953</v>
      </c>
      <c r="I53" s="133">
        <v>1027.4145623535953</v>
      </c>
      <c r="J53" s="133">
        <v>1027.4145623535953</v>
      </c>
      <c r="K53" s="16"/>
      <c r="L53" s="133">
        <v>1027.4145623535953</v>
      </c>
      <c r="M53" s="133">
        <v>1027.4145623535953</v>
      </c>
      <c r="N53" s="133">
        <v>1027.4145623535953</v>
      </c>
      <c r="O53" s="133">
        <v>1027.4145623535953</v>
      </c>
      <c r="P53" s="133">
        <v>1027.4145623535953</v>
      </c>
      <c r="Q53" s="133">
        <v>1027.4145623535953</v>
      </c>
      <c r="R53" s="133">
        <v>1027.4145623535953</v>
      </c>
      <c r="T53" s="133">
        <v>1027.4145623535953</v>
      </c>
      <c r="U53" s="133">
        <v>1027.4145623535953</v>
      </c>
      <c r="V53" s="133">
        <v>1027.4145623535953</v>
      </c>
      <c r="W53" s="133">
        <v>1027.4145623535953</v>
      </c>
      <c r="X53" s="133">
        <v>1027.4145623535953</v>
      </c>
      <c r="Y53" s="133">
        <v>1027.4145623535953</v>
      </c>
      <c r="Z53" s="133">
        <v>1027.4145623535953</v>
      </c>
      <c r="AA53" s="16"/>
      <c r="AB53" s="200"/>
    </row>
    <row r="54" spans="1:28" ht="14" x14ac:dyDescent="0.25">
      <c r="B54" s="8"/>
      <c r="C54" s="159">
        <f t="shared" si="16"/>
        <v>2030</v>
      </c>
      <c r="D54" s="133">
        <v>790.98509858649163</v>
      </c>
      <c r="E54" s="133">
        <v>790.98509858649163</v>
      </c>
      <c r="F54" s="133">
        <v>790.98509858649163</v>
      </c>
      <c r="G54" s="133">
        <v>790.98509858649163</v>
      </c>
      <c r="H54" s="133">
        <v>790.98509858649163</v>
      </c>
      <c r="I54" s="133">
        <v>790.98509858649163</v>
      </c>
      <c r="J54" s="133">
        <v>790.98509858649163</v>
      </c>
      <c r="K54" s="16"/>
      <c r="L54" s="133">
        <v>790.98509858649163</v>
      </c>
      <c r="M54" s="133">
        <v>790.98509858649163</v>
      </c>
      <c r="N54" s="133">
        <v>790.98509858649163</v>
      </c>
      <c r="O54" s="133">
        <v>790.98509858649163</v>
      </c>
      <c r="P54" s="133">
        <v>790.98509858649163</v>
      </c>
      <c r="Q54" s="133">
        <v>790.98509858649163</v>
      </c>
      <c r="R54" s="133">
        <v>790.98509858649163</v>
      </c>
      <c r="T54" s="133">
        <v>790.98509858649163</v>
      </c>
      <c r="U54" s="133">
        <v>790.98509858649163</v>
      </c>
      <c r="V54" s="133">
        <v>790.98509858649163</v>
      </c>
      <c r="W54" s="133">
        <v>790.98509858649163</v>
      </c>
      <c r="X54" s="133">
        <v>790.98509858649163</v>
      </c>
      <c r="Y54" s="133">
        <v>790.98509858649163</v>
      </c>
      <c r="Z54" s="133">
        <v>790.98509858649163</v>
      </c>
      <c r="AA54" s="16"/>
      <c r="AB54" s="200"/>
    </row>
    <row r="55" spans="1:28" ht="14" x14ac:dyDescent="0.25">
      <c r="B55" s="8"/>
      <c r="C55" s="159">
        <f t="shared" si="16"/>
        <v>2035</v>
      </c>
      <c r="D55" s="133">
        <v>677.87218659313612</v>
      </c>
      <c r="E55" s="133">
        <v>677.87218659313612</v>
      </c>
      <c r="F55" s="133">
        <v>677.87218659313612</v>
      </c>
      <c r="G55" s="133">
        <v>677.87218659313612</v>
      </c>
      <c r="H55" s="133">
        <v>677.87218659313612</v>
      </c>
      <c r="I55" s="133">
        <v>677.87218659313612</v>
      </c>
      <c r="J55" s="133">
        <v>677.87218659313612</v>
      </c>
      <c r="K55" s="16"/>
      <c r="L55" s="133">
        <v>677.87218659313612</v>
      </c>
      <c r="M55" s="133">
        <v>677.87218659313612</v>
      </c>
      <c r="N55" s="133">
        <v>677.87218659313612</v>
      </c>
      <c r="O55" s="133">
        <v>677.87218659313612</v>
      </c>
      <c r="P55" s="133">
        <v>677.87218659313612</v>
      </c>
      <c r="Q55" s="133">
        <v>677.87218659313612</v>
      </c>
      <c r="R55" s="133">
        <v>677.87218659313612</v>
      </c>
      <c r="T55" s="133">
        <v>677.87218659313612</v>
      </c>
      <c r="U55" s="133">
        <v>677.87218659313612</v>
      </c>
      <c r="V55" s="133">
        <v>677.87218659313612</v>
      </c>
      <c r="W55" s="133">
        <v>677.87218659313612</v>
      </c>
      <c r="X55" s="133">
        <v>677.87218659313612</v>
      </c>
      <c r="Y55" s="133">
        <v>677.87218659313612</v>
      </c>
      <c r="Z55" s="133">
        <v>677.87218659313612</v>
      </c>
      <c r="AA55" s="16"/>
      <c r="AB55" s="200"/>
    </row>
    <row r="56" spans="1:28" ht="14" x14ac:dyDescent="0.25">
      <c r="B56" s="8"/>
      <c r="C56" s="159">
        <f t="shared" si="16"/>
        <v>2040</v>
      </c>
      <c r="D56" s="133">
        <v>592.04475191741801</v>
      </c>
      <c r="E56" s="133">
        <v>592.04475191741801</v>
      </c>
      <c r="F56" s="133">
        <v>592.04475191741801</v>
      </c>
      <c r="G56" s="133">
        <v>592.04475191741801</v>
      </c>
      <c r="H56" s="133">
        <v>592.04475191741801</v>
      </c>
      <c r="I56" s="133">
        <v>592.04475191741801</v>
      </c>
      <c r="J56" s="133">
        <v>592.04475191741801</v>
      </c>
      <c r="K56" s="16"/>
      <c r="L56" s="133">
        <v>592.04475191741801</v>
      </c>
      <c r="M56" s="133">
        <v>592.04475191741801</v>
      </c>
      <c r="N56" s="133">
        <v>592.04475191741801</v>
      </c>
      <c r="O56" s="133">
        <v>592.04475191741801</v>
      </c>
      <c r="P56" s="133">
        <v>592.04475191741801</v>
      </c>
      <c r="Q56" s="133">
        <v>592.04475191741801</v>
      </c>
      <c r="R56" s="133">
        <v>592.04475191741801</v>
      </c>
      <c r="T56" s="133">
        <v>592.04475191741801</v>
      </c>
      <c r="U56" s="133">
        <v>592.04475191741801</v>
      </c>
      <c r="V56" s="133">
        <v>592.04475191741801</v>
      </c>
      <c r="W56" s="133">
        <v>592.04475191741801</v>
      </c>
      <c r="X56" s="133">
        <v>592.04475191741801</v>
      </c>
      <c r="Y56" s="133">
        <v>592.04475191741801</v>
      </c>
      <c r="Z56" s="133">
        <v>592.04475191741801</v>
      </c>
      <c r="AA56" s="16"/>
      <c r="AB56" s="200"/>
    </row>
    <row r="57" spans="1:28" ht="14" x14ac:dyDescent="0.25">
      <c r="B57" s="8"/>
      <c r="C57" s="159">
        <f t="shared" si="16"/>
        <v>2045</v>
      </c>
      <c r="D57" s="133">
        <v>539.98577919175852</v>
      </c>
      <c r="E57" s="133">
        <v>539.98577919175852</v>
      </c>
      <c r="F57" s="133">
        <v>539.98577919175852</v>
      </c>
      <c r="G57" s="133">
        <v>539.98577919175852</v>
      </c>
      <c r="H57" s="133">
        <v>539.98577919175852</v>
      </c>
      <c r="I57" s="133">
        <v>539.98577919175852</v>
      </c>
      <c r="J57" s="133">
        <v>539.98577919175852</v>
      </c>
      <c r="K57" s="16"/>
      <c r="L57" s="133">
        <v>539.98577919175852</v>
      </c>
      <c r="M57" s="133">
        <v>539.98577919175852</v>
      </c>
      <c r="N57" s="133">
        <v>539.98577919175852</v>
      </c>
      <c r="O57" s="133">
        <v>539.98577919175852</v>
      </c>
      <c r="P57" s="133">
        <v>539.98577919175852</v>
      </c>
      <c r="Q57" s="133">
        <v>539.98577919175852</v>
      </c>
      <c r="R57" s="133">
        <v>539.98577919175852</v>
      </c>
      <c r="T57" s="133">
        <v>539.98577919175852</v>
      </c>
      <c r="U57" s="133">
        <v>539.98577919175852</v>
      </c>
      <c r="V57" s="133">
        <v>539.98577919175852</v>
      </c>
      <c r="W57" s="133">
        <v>539.98577919175852</v>
      </c>
      <c r="X57" s="133">
        <v>539.98577919175852</v>
      </c>
      <c r="Y57" s="133">
        <v>539.98577919175852</v>
      </c>
      <c r="Z57" s="133">
        <v>539.98577919175852</v>
      </c>
      <c r="AA57" s="16"/>
      <c r="AB57" s="200"/>
    </row>
    <row r="58" spans="1:28" ht="14" x14ac:dyDescent="0.25">
      <c r="B58" s="8"/>
      <c r="C58" s="159">
        <f t="shared" si="16"/>
        <v>2050</v>
      </c>
      <c r="D58" s="133">
        <v>498.6420202753452</v>
      </c>
      <c r="E58" s="133">
        <v>498.6420202753452</v>
      </c>
      <c r="F58" s="133">
        <v>498.6420202753452</v>
      </c>
      <c r="G58" s="133">
        <v>498.6420202753452</v>
      </c>
      <c r="H58" s="133">
        <v>498.6420202753452</v>
      </c>
      <c r="I58" s="133">
        <v>498.6420202753452</v>
      </c>
      <c r="J58" s="133">
        <v>498.6420202753452</v>
      </c>
      <c r="K58" s="16"/>
      <c r="L58" s="133">
        <v>498.6420202753452</v>
      </c>
      <c r="M58" s="133">
        <v>498.6420202753452</v>
      </c>
      <c r="N58" s="133">
        <v>498.6420202753452</v>
      </c>
      <c r="O58" s="133">
        <v>498.6420202753452</v>
      </c>
      <c r="P58" s="133">
        <v>498.6420202753452</v>
      </c>
      <c r="Q58" s="133">
        <v>498.6420202753452</v>
      </c>
      <c r="R58" s="133">
        <v>498.6420202753452</v>
      </c>
      <c r="T58" s="133">
        <v>498.6420202753452</v>
      </c>
      <c r="U58" s="133">
        <v>498.6420202753452</v>
      </c>
      <c r="V58" s="133">
        <v>498.6420202753452</v>
      </c>
      <c r="W58" s="133">
        <v>498.6420202753452</v>
      </c>
      <c r="X58" s="133">
        <v>498.6420202753452</v>
      </c>
      <c r="Y58" s="133">
        <v>498.6420202753452</v>
      </c>
      <c r="Z58" s="133">
        <v>498.6420202753452</v>
      </c>
      <c r="AA58" s="16"/>
      <c r="AB58" s="201"/>
    </row>
    <row r="59" spans="1:28" ht="14" x14ac:dyDescent="0.25">
      <c r="B59" s="8"/>
      <c r="K59" s="16"/>
      <c r="AA59" s="16"/>
      <c r="AB59" s="196"/>
    </row>
    <row r="60" spans="1:28" s="1" customFormat="1" ht="18.5" thickBot="1" x14ac:dyDescent="0.3">
      <c r="A60" s="1" t="s">
        <v>83</v>
      </c>
      <c r="C60" s="158"/>
      <c r="D60" s="99"/>
      <c r="E60" s="99"/>
      <c r="F60" s="99"/>
      <c r="G60" s="99"/>
      <c r="H60" s="99"/>
      <c r="I60" s="99"/>
      <c r="J60" s="99"/>
      <c r="L60" s="99"/>
      <c r="M60" s="99"/>
      <c r="N60" s="99"/>
      <c r="O60" s="99"/>
      <c r="P60" s="99"/>
      <c r="Q60" s="99"/>
      <c r="R60" s="99"/>
      <c r="S60" s="98"/>
      <c r="T60" s="99"/>
      <c r="U60" s="99"/>
      <c r="V60" s="99"/>
      <c r="W60" s="99"/>
      <c r="X60" s="99"/>
      <c r="Y60" s="99"/>
      <c r="Z60" s="99"/>
      <c r="AB60" s="197"/>
    </row>
    <row r="61" spans="1:28" s="8" customFormat="1" ht="14" x14ac:dyDescent="0.25">
      <c r="C61" s="157"/>
      <c r="D61" s="98"/>
      <c r="E61" s="98"/>
      <c r="F61" s="98"/>
      <c r="G61" s="98"/>
      <c r="H61" s="98"/>
      <c r="I61" s="98"/>
      <c r="J61" s="98"/>
      <c r="K61" s="16"/>
      <c r="L61" s="98"/>
      <c r="M61" s="98"/>
      <c r="N61" s="98"/>
      <c r="O61" s="98"/>
      <c r="P61" s="98"/>
      <c r="Q61" s="98"/>
      <c r="R61" s="98"/>
      <c r="S61" s="98"/>
      <c r="T61" s="98"/>
      <c r="U61" s="98"/>
      <c r="V61" s="98"/>
      <c r="W61" s="98"/>
      <c r="X61" s="98"/>
      <c r="Y61" s="98"/>
      <c r="Z61" s="98"/>
      <c r="AA61" s="16"/>
      <c r="AB61" s="196"/>
    </row>
    <row r="62" spans="1:28" ht="14" x14ac:dyDescent="0.25">
      <c r="B62" s="8"/>
      <c r="C62" s="159" t="s">
        <v>84</v>
      </c>
      <c r="D62" s="108">
        <f t="shared" ref="D62:Z62" si="17">INDEX(D$32:D$38,MATCH(D$11,$C$32:$C$38,0))</f>
        <v>25.719424303417231</v>
      </c>
      <c r="E62" s="108">
        <f t="shared" si="17"/>
        <v>19.646953226905421</v>
      </c>
      <c r="F62" s="108">
        <f t="shared" si="17"/>
        <v>18.782799628566927</v>
      </c>
      <c r="G62" s="108">
        <f t="shared" si="17"/>
        <v>17.69570200125143</v>
      </c>
      <c r="H62" s="108">
        <f t="shared" si="17"/>
        <v>16.608604373935929</v>
      </c>
      <c r="I62" s="108">
        <f t="shared" si="17"/>
        <v>15.521506746620426</v>
      </c>
      <c r="J62" s="108">
        <f t="shared" si="17"/>
        <v>14.434366426078391</v>
      </c>
      <c r="K62" s="16"/>
      <c r="L62" s="108">
        <f>INDEX(L$32:L$38,MATCH(L$11,$C$32:$C$38,0))</f>
        <v>25.719424303417231</v>
      </c>
      <c r="M62" s="108">
        <f t="shared" si="17"/>
        <v>19.646953226905421</v>
      </c>
      <c r="N62" s="108">
        <f t="shared" si="17"/>
        <v>18.782799628566927</v>
      </c>
      <c r="O62" s="108">
        <f t="shared" si="17"/>
        <v>17.69570200125143</v>
      </c>
      <c r="P62" s="108">
        <f t="shared" si="17"/>
        <v>16.608604373935929</v>
      </c>
      <c r="Q62" s="108">
        <f t="shared" si="17"/>
        <v>15.521506746620426</v>
      </c>
      <c r="R62" s="108">
        <f t="shared" si="17"/>
        <v>14.434366426078391</v>
      </c>
      <c r="T62" s="108">
        <f t="shared" si="17"/>
        <v>25.719424303417231</v>
      </c>
      <c r="U62" s="108">
        <f t="shared" si="17"/>
        <v>19.646953226905421</v>
      </c>
      <c r="V62" s="108">
        <f t="shared" si="17"/>
        <v>18.782799628566927</v>
      </c>
      <c r="W62" s="108">
        <f t="shared" si="17"/>
        <v>17.69570200125143</v>
      </c>
      <c r="X62" s="108">
        <f t="shared" si="17"/>
        <v>16.608604373935929</v>
      </c>
      <c r="Y62" s="108">
        <f t="shared" si="17"/>
        <v>15.521506746620426</v>
      </c>
      <c r="Z62" s="108">
        <f t="shared" si="17"/>
        <v>14.434366426078391</v>
      </c>
      <c r="AA62" s="16"/>
      <c r="AB62" s="195" t="s">
        <v>85</v>
      </c>
    </row>
    <row r="63" spans="1:28" ht="14" x14ac:dyDescent="0.25">
      <c r="B63" s="8"/>
      <c r="C63" s="159" t="s">
        <v>86</v>
      </c>
      <c r="D63" s="108">
        <f t="shared" ref="D63:Z63" si="18">INDEX(D$42:D$48,MATCH(D$11,$C$42:$C$48,0))</f>
        <v>25.719424303417231</v>
      </c>
      <c r="E63" s="108">
        <f t="shared" si="18"/>
        <v>19.646953226905421</v>
      </c>
      <c r="F63" s="108">
        <f t="shared" si="18"/>
        <v>18.782799628566927</v>
      </c>
      <c r="G63" s="108">
        <f t="shared" si="18"/>
        <v>17.69570200125143</v>
      </c>
      <c r="H63" s="108">
        <f t="shared" si="18"/>
        <v>16.608604373935929</v>
      </c>
      <c r="I63" s="108">
        <f t="shared" si="18"/>
        <v>15.521506746620426</v>
      </c>
      <c r="J63" s="108">
        <f t="shared" si="18"/>
        <v>14.434366426078391</v>
      </c>
      <c r="K63" s="16"/>
      <c r="L63" s="108">
        <f t="shared" si="18"/>
        <v>25.719424303417231</v>
      </c>
      <c r="M63" s="108">
        <f t="shared" si="18"/>
        <v>19.646953226905421</v>
      </c>
      <c r="N63" s="108">
        <f t="shared" si="18"/>
        <v>18.782799628566927</v>
      </c>
      <c r="O63" s="108">
        <f t="shared" si="18"/>
        <v>17.69570200125143</v>
      </c>
      <c r="P63" s="108">
        <f t="shared" si="18"/>
        <v>16.608604373935929</v>
      </c>
      <c r="Q63" s="108">
        <f t="shared" si="18"/>
        <v>15.521506746620426</v>
      </c>
      <c r="R63" s="108">
        <f t="shared" si="18"/>
        <v>14.434366426078391</v>
      </c>
      <c r="T63" s="108">
        <f t="shared" si="18"/>
        <v>25.719424303417231</v>
      </c>
      <c r="U63" s="108">
        <f t="shared" si="18"/>
        <v>19.646953226905421</v>
      </c>
      <c r="V63" s="108">
        <f t="shared" si="18"/>
        <v>18.782799628566927</v>
      </c>
      <c r="W63" s="108">
        <f t="shared" si="18"/>
        <v>17.69570200125143</v>
      </c>
      <c r="X63" s="108">
        <f t="shared" si="18"/>
        <v>16.608604373935929</v>
      </c>
      <c r="Y63" s="108">
        <f t="shared" si="18"/>
        <v>15.521506746620426</v>
      </c>
      <c r="Z63" s="108">
        <f t="shared" si="18"/>
        <v>14.434366426078391</v>
      </c>
      <c r="AA63" s="16"/>
      <c r="AB63" s="195" t="s">
        <v>87</v>
      </c>
    </row>
    <row r="64" spans="1:28" ht="14" x14ac:dyDescent="0.25">
      <c r="B64" s="8"/>
      <c r="C64" s="159" t="s">
        <v>88</v>
      </c>
      <c r="D64" s="109">
        <f t="shared" ref="D64:Z64" si="19">INDEX(D$52:D$58,MATCH(D$11,$C$52:$C$58,0))</f>
        <v>1263.8440261206979</v>
      </c>
      <c r="E64" s="109">
        <f t="shared" si="19"/>
        <v>1027.4145623535953</v>
      </c>
      <c r="F64" s="109">
        <f t="shared" si="19"/>
        <v>790.98509858649163</v>
      </c>
      <c r="G64" s="109">
        <f t="shared" si="19"/>
        <v>677.87218659313612</v>
      </c>
      <c r="H64" s="109">
        <f t="shared" si="19"/>
        <v>592.04475191741801</v>
      </c>
      <c r="I64" s="109">
        <f t="shared" si="19"/>
        <v>539.98577919175852</v>
      </c>
      <c r="J64" s="109">
        <f t="shared" si="19"/>
        <v>498.6420202753452</v>
      </c>
      <c r="K64" s="16"/>
      <c r="L64" s="109">
        <f t="shared" si="19"/>
        <v>1263.8440261206979</v>
      </c>
      <c r="M64" s="109">
        <f t="shared" si="19"/>
        <v>1027.4145623535953</v>
      </c>
      <c r="N64" s="109">
        <f t="shared" si="19"/>
        <v>790.98509858649163</v>
      </c>
      <c r="O64" s="109">
        <f t="shared" si="19"/>
        <v>677.87218659313612</v>
      </c>
      <c r="P64" s="109">
        <f t="shared" si="19"/>
        <v>592.04475191741801</v>
      </c>
      <c r="Q64" s="109">
        <f t="shared" si="19"/>
        <v>539.98577919175852</v>
      </c>
      <c r="R64" s="109">
        <f t="shared" si="19"/>
        <v>498.6420202753452</v>
      </c>
      <c r="T64" s="109">
        <f t="shared" si="19"/>
        <v>1263.8440261206979</v>
      </c>
      <c r="U64" s="109">
        <f t="shared" si="19"/>
        <v>1027.4145623535953</v>
      </c>
      <c r="V64" s="109">
        <f t="shared" si="19"/>
        <v>790.98509858649163</v>
      </c>
      <c r="W64" s="109">
        <f t="shared" si="19"/>
        <v>677.87218659313612</v>
      </c>
      <c r="X64" s="109">
        <f t="shared" si="19"/>
        <v>592.04475191741801</v>
      </c>
      <c r="Y64" s="109">
        <f t="shared" si="19"/>
        <v>539.98577919175852</v>
      </c>
      <c r="Z64" s="109">
        <f t="shared" si="19"/>
        <v>498.6420202753452</v>
      </c>
      <c r="AA64" s="16"/>
      <c r="AB64" s="195" t="s">
        <v>85</v>
      </c>
    </row>
    <row r="65" spans="2:28" ht="14" x14ac:dyDescent="0.25">
      <c r="B65" s="8"/>
      <c r="C65" s="159" t="s">
        <v>89</v>
      </c>
      <c r="D65" s="109" t="e" cm="1">
        <f t="array" ref="D65">SUMPRODUCT('Cost and Efficiency Data (R)'!$B$55:$U$62*('Cost and Efficiency Data (R)'!$B$54:$U$54=Pathways!D18)*('Cost and Efficiency Data (R)'!$B$53:$U$53=Pathways!D13)*('Cost and Efficiency Data (R)'!$A$55:$A$62=Pathways!D11))</f>
        <v>#VALUE!</v>
      </c>
      <c r="E65" s="109" t="e" cm="1">
        <f t="array" ref="E65">SUMPRODUCT('Cost and Efficiency Data (R)'!$B$55:$U$62*('Cost and Efficiency Data (R)'!$B$54:$U$54=Pathways!E18)*('Cost and Efficiency Data (R)'!$B$53:$U$53=Pathways!E13)*('Cost and Efficiency Data (R)'!$A$55:$A$62=Pathways!E11))</f>
        <v>#VALUE!</v>
      </c>
      <c r="F65" s="109" t="e" cm="1">
        <f t="array" ref="F65">SUMPRODUCT('Cost and Efficiency Data (R)'!$B$55:$U$62*('Cost and Efficiency Data (R)'!$B$54:$U$54=Pathways!F18)*('Cost and Efficiency Data (R)'!$B$53:$U$53=Pathways!F13)*('Cost and Efficiency Data (R)'!$A$55:$A$62=Pathways!F11))</f>
        <v>#VALUE!</v>
      </c>
      <c r="G65" s="109" t="e" cm="1">
        <f t="array" ref="G65">SUMPRODUCT('Cost and Efficiency Data (R)'!$B$55:$U$62*('Cost and Efficiency Data (R)'!$B$54:$U$54=Pathways!G18)*('Cost and Efficiency Data (R)'!$B$53:$U$53=Pathways!G13)*('Cost and Efficiency Data (R)'!$A$55:$A$62=Pathways!G11))</f>
        <v>#VALUE!</v>
      </c>
      <c r="H65" s="109" t="e" cm="1">
        <f t="array" ref="H65">SUMPRODUCT('Cost and Efficiency Data (R)'!$B$55:$U$62*('Cost and Efficiency Data (R)'!$B$54:$U$54=Pathways!H18)*('Cost and Efficiency Data (R)'!$B$53:$U$53=Pathways!H13)*('Cost and Efficiency Data (R)'!$A$55:$A$62=Pathways!H11))</f>
        <v>#VALUE!</v>
      </c>
      <c r="I65" s="109" t="e" cm="1">
        <f t="array" ref="I65">SUMPRODUCT('Cost and Efficiency Data (R)'!$B$55:$U$62*('Cost and Efficiency Data (R)'!$B$54:$U$54=Pathways!I18)*('Cost and Efficiency Data (R)'!$B$53:$U$53=Pathways!I13)*('Cost and Efficiency Data (R)'!$A$55:$A$62=Pathways!I11))</f>
        <v>#VALUE!</v>
      </c>
      <c r="J65" s="109" t="e">
        <f>SUMPRODUCT('Cost and Efficiency Data (R)'!$B$55:$U$62*('Cost and Efficiency Data (R)'!$B$54:$U$54=Pathways!J18)*('Cost and Efficiency Data (R)'!$B$53:$U$53=Pathways!J13)*('Cost and Efficiency Data (R)'!$A$55:$A$62=Pathways!J11))</f>
        <v>#VALUE!</v>
      </c>
      <c r="K65" s="16"/>
      <c r="L65" s="109" t="e">
        <f>SUMPRODUCT('Cost and Efficiency Data (R)'!$B$55:$U$62*('Cost and Efficiency Data (R)'!$B$54:$U$54=Pathways!L18)*('Cost and Efficiency Data (R)'!$B$53:$U$53=Pathways!L13)*('Cost and Efficiency Data (R)'!$A$55:$A$62=Pathways!L11))</f>
        <v>#VALUE!</v>
      </c>
      <c r="M65" s="109" t="e" cm="1">
        <f t="array" ref="M65">SUMPRODUCT('Cost and Efficiency Data (R)'!$B$55:$U$62*('Cost and Efficiency Data (R)'!$B$54:$U$54=Pathways!M18)*('Cost and Efficiency Data (R)'!$B$53:$U$53=Pathways!M13)*('Cost and Efficiency Data (R)'!$A$55:$A$62=Pathways!M11))</f>
        <v>#VALUE!</v>
      </c>
      <c r="N65" s="109" t="e" cm="1">
        <f t="array" ref="N65">SUMPRODUCT('Cost and Efficiency Data (R)'!$B$55:$U$62*('Cost and Efficiency Data (R)'!$B$54:$U$54=Pathways!N18)*('Cost and Efficiency Data (R)'!$B$53:$U$53=Pathways!N13)*('Cost and Efficiency Data (R)'!$A$55:$A$62=Pathways!N11))</f>
        <v>#VALUE!</v>
      </c>
      <c r="O65" s="109" t="e" cm="1">
        <f t="array" ref="O65">SUMPRODUCT('Cost and Efficiency Data (R)'!$B$55:$U$62*('Cost and Efficiency Data (R)'!$B$54:$U$54=Pathways!O18)*('Cost and Efficiency Data (R)'!$B$53:$U$53=Pathways!O13)*('Cost and Efficiency Data (R)'!$A$55:$A$62=Pathways!O11))</f>
        <v>#VALUE!</v>
      </c>
      <c r="P65" s="109" t="e" cm="1">
        <f t="array" ref="P65">SUMPRODUCT('Cost and Efficiency Data (R)'!$B$55:$U$62*('Cost and Efficiency Data (R)'!$B$54:$U$54=Pathways!P18)*('Cost and Efficiency Data (R)'!$B$53:$U$53=Pathways!P13)*('Cost and Efficiency Data (R)'!$A$55:$A$62=Pathways!P11))</f>
        <v>#VALUE!</v>
      </c>
      <c r="Q65" s="109" t="e" cm="1">
        <f t="array" ref="Q65">SUMPRODUCT('Cost and Efficiency Data (R)'!$B$55:$U$62*('Cost and Efficiency Data (R)'!$B$54:$U$54=Pathways!Q18)*('Cost and Efficiency Data (R)'!$B$53:$U$53=Pathways!Q13)*('Cost and Efficiency Data (R)'!$A$55:$A$62=Pathways!Q11))</f>
        <v>#VALUE!</v>
      </c>
      <c r="R65" s="109" t="e" cm="1">
        <f t="array" ref="R65">SUMPRODUCT('Cost and Efficiency Data (R)'!$B$55:$U$62*('Cost and Efficiency Data (R)'!$B$54:$U$54=Pathways!R18)*('Cost and Efficiency Data (R)'!$B$53:$U$53=Pathways!R13)*('Cost and Efficiency Data (R)'!$A$55:$A$62=Pathways!R11))</f>
        <v>#VALUE!</v>
      </c>
      <c r="T65" s="109" t="e" cm="1">
        <f t="array" ref="T65">SUMPRODUCT('Cost and Efficiency Data (R)'!$B$55:$U$62*('Cost and Efficiency Data (R)'!$B$54:$U$54=Pathways!T18)*('Cost and Efficiency Data (R)'!$B$53:$U$53=Pathways!T13)*('Cost and Efficiency Data (R)'!$A$55:$A$62=Pathways!T11))</f>
        <v>#VALUE!</v>
      </c>
      <c r="U65" s="109" t="e" cm="1">
        <f t="array" ref="U65">SUMPRODUCT('Cost and Efficiency Data (R)'!$B$55:$U$62*('Cost and Efficiency Data (R)'!$B$54:$U$54=Pathways!U18)*('Cost and Efficiency Data (R)'!$B$53:$U$53=Pathways!U13)*('Cost and Efficiency Data (R)'!$A$55:$A$62=Pathways!U11))</f>
        <v>#VALUE!</v>
      </c>
      <c r="V65" s="109" t="e" cm="1">
        <f t="array" ref="V65">SUMPRODUCT('Cost and Efficiency Data (R)'!$B$55:$U$62*('Cost and Efficiency Data (R)'!$B$54:$U$54=Pathways!V18)*('Cost and Efficiency Data (R)'!$B$53:$U$53=Pathways!V13)*('Cost and Efficiency Data (R)'!$A$55:$A$62=Pathways!V11))</f>
        <v>#VALUE!</v>
      </c>
      <c r="W65" s="109" t="e" cm="1">
        <f t="array" ref="W65">SUMPRODUCT('Cost and Efficiency Data (R)'!$B$55:$U$62*('Cost and Efficiency Data (R)'!$B$54:$U$54=Pathways!W18)*('Cost and Efficiency Data (R)'!$B$53:$U$53=Pathways!W13)*('Cost and Efficiency Data (R)'!$A$55:$A$62=Pathways!W11))</f>
        <v>#VALUE!</v>
      </c>
      <c r="X65" s="109" t="e" cm="1">
        <f t="array" ref="X65">SUMPRODUCT('Cost and Efficiency Data (R)'!$B$55:$U$62*('Cost and Efficiency Data (R)'!$B$54:$U$54=Pathways!X18)*('Cost and Efficiency Data (R)'!$B$53:$U$53=Pathways!X13)*('Cost and Efficiency Data (R)'!$A$55:$A$62=Pathways!X11))</f>
        <v>#VALUE!</v>
      </c>
      <c r="Y65" s="109" t="e" cm="1">
        <f t="array" ref="Y65">SUMPRODUCT('Cost and Efficiency Data (R)'!$B$55:$U$62*('Cost and Efficiency Data (R)'!$B$54:$U$54=Pathways!Y18)*('Cost and Efficiency Data (R)'!$B$53:$U$53=Pathways!Y13)*('Cost and Efficiency Data (R)'!$A$55:$A$62=Pathways!Y11))</f>
        <v>#VALUE!</v>
      </c>
      <c r="Z65" s="109" t="e" cm="1">
        <f t="array" ref="Z65">SUMPRODUCT('Cost and Efficiency Data (R)'!$B$55:$U$62*('Cost and Efficiency Data (R)'!$B$54:$U$54=Pathways!Z18)*('Cost and Efficiency Data (R)'!$B$53:$U$53=Pathways!Z13)*('Cost and Efficiency Data (R)'!$A$55:$A$62=Pathways!Z11))</f>
        <v>#VALUE!</v>
      </c>
      <c r="AA65" s="16"/>
      <c r="AB65" s="195" t="s">
        <v>90</v>
      </c>
    </row>
    <row r="66" spans="2:28" ht="14" x14ac:dyDescent="0.25">
      <c r="B66" s="8"/>
      <c r="C66" s="159" t="s">
        <v>91</v>
      </c>
      <c r="D66" s="109" cm="1">
        <f t="array" ref="D66">SUMPRODUCT('Cost and Efficiency Data (R)'!$B$42:$AE$49*(Pathways!D$11='Cost and Efficiency Data (R)'!$A$42:$A$49)*('Cost and Efficiency Data (R)'!$B$41:$AE$41=Pathways!D$18)*(Pathways!D15='Cost and Efficiency Data (R)'!$B$40:$AE$40))</f>
        <v>0</v>
      </c>
      <c r="E66" s="109" cm="1">
        <f t="array" ref="E66">SUMPRODUCT('Cost and Efficiency Data (R)'!$B$42:$AE$49*(Pathways!E$11='Cost and Efficiency Data (R)'!$A$42:$A$49)*('Cost and Efficiency Data (R)'!$B$41:$AE$41=Pathways!E$18)*(Pathways!E15='Cost and Efficiency Data (R)'!$B$40:$AE$40))</f>
        <v>0</v>
      </c>
      <c r="F66" s="109" cm="1">
        <f t="array" ref="F66">SUMPRODUCT('Cost and Efficiency Data (R)'!$B$42:$AE$49*(Pathways!F$11='Cost and Efficiency Data (R)'!$A$42:$A$49)*('Cost and Efficiency Data (R)'!$B$41:$AE$41=Pathways!F$18)*(Pathways!F15='Cost and Efficiency Data (R)'!$B$40:$AE$40))</f>
        <v>0</v>
      </c>
      <c r="G66" s="109" cm="1">
        <f t="array" ref="G66">SUMPRODUCT('Cost and Efficiency Data (R)'!$B$42:$AE$49*(Pathways!G$11='Cost and Efficiency Data (R)'!$A$42:$A$49)*('Cost and Efficiency Data (R)'!$B$41:$AE$41=Pathways!G$18)*(Pathways!G15='Cost and Efficiency Data (R)'!$B$40:$AE$40))</f>
        <v>0</v>
      </c>
      <c r="H66" s="109" cm="1">
        <f t="array" ref="H66">SUMPRODUCT('Cost and Efficiency Data (R)'!$B$42:$AE$49*(Pathways!H$11='Cost and Efficiency Data (R)'!$A$42:$A$49)*('Cost and Efficiency Data (R)'!$B$41:$AE$41=Pathways!H$18)*(Pathways!H15='Cost and Efficiency Data (R)'!$B$40:$AE$40))</f>
        <v>0</v>
      </c>
      <c r="I66" s="109" cm="1">
        <f t="array" ref="I66">SUMPRODUCT('Cost and Efficiency Data (R)'!$B$42:$AE$49*(Pathways!I$11='Cost and Efficiency Data (R)'!$A$42:$A$49)*('Cost and Efficiency Data (R)'!$B$41:$AE$41=Pathways!I$18)*(Pathways!I15='Cost and Efficiency Data (R)'!$B$40:$AE$40))</f>
        <v>0</v>
      </c>
      <c r="J66" s="109" cm="1">
        <f t="array" ref="J66">SUMPRODUCT('Cost and Efficiency Data (R)'!$B$42:$AE$49*(Pathways!J$11='Cost and Efficiency Data (R)'!$A$42:$A$49)*('Cost and Efficiency Data (R)'!$B$41:$AE$41=Pathways!J$18)*(Pathways!J15='Cost and Efficiency Data (R)'!$B$40:$AE$40))</f>
        <v>0</v>
      </c>
      <c r="K66" s="16"/>
      <c r="L66" s="202" cm="1">
        <f t="array" ref="L66">SUMPRODUCT('Cost and Efficiency Data (R)'!$B$42:$AE$49*(Pathways!L$11='Cost and Efficiency Data (R)'!$A$42:$A$49)*('Cost and Efficiency Data (R)'!$B$41:$AE$41=Pathways!L$18)*(Pathways!L15='Cost and Efficiency Data (R)'!$B$40:$AE$40))</f>
        <v>482184.21052631579</v>
      </c>
      <c r="M66" s="202" cm="1">
        <f t="array" ref="M66">SUMPRODUCT('Cost and Efficiency Data (R)'!$B$42:$AE$49*(Pathways!M$11='Cost and Efficiency Data (R)'!$A$42:$A$49)*('Cost and Efficiency Data (R)'!$B$41:$AE$41=Pathways!M$18)*(Pathways!M15='Cost and Efficiency Data (R)'!$B$40:$AE$40))</f>
        <v>482184.21052631579</v>
      </c>
      <c r="N66" s="202" cm="1">
        <f t="array" ref="N66">SUMPRODUCT('Cost and Efficiency Data (R)'!$B$42:$AE$49*(Pathways!N$11='Cost and Efficiency Data (R)'!$A$42:$A$49)*('Cost and Efficiency Data (R)'!$B$41:$AE$41=Pathways!N$18)*(Pathways!N15='Cost and Efficiency Data (R)'!$B$40:$AE$40))</f>
        <v>482184.21052631579</v>
      </c>
      <c r="O66" s="202" cm="1">
        <f t="array" ref="O66">SUMPRODUCT('Cost and Efficiency Data (R)'!$B$42:$AE$49*(Pathways!O$11='Cost and Efficiency Data (R)'!$A$42:$A$49)*('Cost and Efficiency Data (R)'!$B$41:$AE$41=Pathways!O$18)*(Pathways!O15='Cost and Efficiency Data (R)'!$B$40:$AE$40))</f>
        <v>482184.21052631579</v>
      </c>
      <c r="P66" s="202" cm="1">
        <f t="array" ref="P66">SUMPRODUCT('Cost and Efficiency Data (R)'!$B$42:$AE$49*(Pathways!P$11='Cost and Efficiency Data (R)'!$A$42:$A$49)*('Cost and Efficiency Data (R)'!$B$41:$AE$41=Pathways!P$18)*(Pathways!P15='Cost and Efficiency Data (R)'!$B$40:$AE$40))</f>
        <v>482184.21052631579</v>
      </c>
      <c r="Q66" s="202" cm="1">
        <f t="array" ref="Q66">SUMPRODUCT('Cost and Efficiency Data (R)'!$B$42:$AE$49*(Pathways!Q$11='Cost and Efficiency Data (R)'!$A$42:$A$49)*('Cost and Efficiency Data (R)'!$B$41:$AE$41=Pathways!Q$18)*(Pathways!Q15='Cost and Efficiency Data (R)'!$B$40:$AE$40))</f>
        <v>482184.21052631579</v>
      </c>
      <c r="R66" s="202" cm="1">
        <f t="array" ref="R66">SUMPRODUCT('Cost and Efficiency Data (R)'!$B$42:$AE$49*(Pathways!R$11='Cost and Efficiency Data (R)'!$A$42:$A$49)*('Cost and Efficiency Data (R)'!$B$41:$AE$41=Pathways!R$18)*(Pathways!R15='Cost and Efficiency Data (R)'!$B$40:$AE$40))</f>
        <v>482184.21052631579</v>
      </c>
      <c r="T66" s="109" cm="1">
        <f t="array" ref="T66">SUMPRODUCT('Cost and Efficiency Data (R)'!$B$42:$AE$49*(Pathways!T$11='Cost and Efficiency Data (R)'!$A$42:$A$49)*('Cost and Efficiency Data (R)'!$B$41:$AE$41=Pathways!T$18)*(Pathways!T15='Cost and Efficiency Data (R)'!$B$40:$AE$40))</f>
        <v>0</v>
      </c>
      <c r="U66" s="109" cm="1">
        <f t="array" ref="U66">SUMPRODUCT('Cost and Efficiency Data (R)'!$B$42:$AE$49*(Pathways!U$11='Cost and Efficiency Data (R)'!$A$42:$A$49)*('Cost and Efficiency Data (R)'!$B$41:$AE$41=Pathways!U$18)*(Pathways!U15='Cost and Efficiency Data (R)'!$B$40:$AE$40))</f>
        <v>0</v>
      </c>
      <c r="V66" s="109" cm="1">
        <f t="array" ref="V66">SUMPRODUCT('Cost and Efficiency Data (R)'!$B$42:$AE$49*(Pathways!V$11='Cost and Efficiency Data (R)'!$A$42:$A$49)*('Cost and Efficiency Data (R)'!$B$41:$AE$41=Pathways!V$18)*(Pathways!V15='Cost and Efficiency Data (R)'!$B$40:$AE$40))</f>
        <v>0</v>
      </c>
      <c r="W66" s="109" cm="1">
        <f t="array" ref="W66">SUMPRODUCT('Cost and Efficiency Data (R)'!$B$42:$AE$49*(Pathways!W$11='Cost and Efficiency Data (R)'!$A$42:$A$49)*('Cost and Efficiency Data (R)'!$B$41:$AE$41=Pathways!W$18)*(Pathways!W15='Cost and Efficiency Data (R)'!$B$40:$AE$40))</f>
        <v>0</v>
      </c>
      <c r="X66" s="109" cm="1">
        <f t="array" ref="X66">SUMPRODUCT('Cost and Efficiency Data (R)'!$B$42:$AE$49*(Pathways!X$11='Cost and Efficiency Data (R)'!$A$42:$A$49)*('Cost and Efficiency Data (R)'!$B$41:$AE$41=Pathways!X$18)*(Pathways!X15='Cost and Efficiency Data (R)'!$B$40:$AE$40))</f>
        <v>0</v>
      </c>
      <c r="Y66" s="109" cm="1">
        <f t="array" ref="Y66">SUMPRODUCT('Cost and Efficiency Data (R)'!$B$42:$AE$49*(Pathways!Y$11='Cost and Efficiency Data (R)'!$A$42:$A$49)*('Cost and Efficiency Data (R)'!$B$41:$AE$41=Pathways!Y$18)*(Pathways!Y15='Cost and Efficiency Data (R)'!$B$40:$AE$40))</f>
        <v>0</v>
      </c>
      <c r="Z66" s="109" cm="1">
        <f t="array" ref="Z66">SUMPRODUCT('Cost and Efficiency Data (R)'!$B$42:$AE$49*(Pathways!Z$11='Cost and Efficiency Data (R)'!$A$42:$A$49)*('Cost and Efficiency Data (R)'!$B$41:$AE$41=Pathways!Z$18)*(Pathways!Z15='Cost and Efficiency Data (R)'!$B$40:$AE$40))</f>
        <v>0</v>
      </c>
      <c r="AA66" s="16"/>
      <c r="AB66" s="195" t="s">
        <v>92</v>
      </c>
    </row>
    <row r="67" spans="2:28" ht="14" x14ac:dyDescent="0.25">
      <c r="B67" s="8"/>
      <c r="C67" s="159" t="s">
        <v>93</v>
      </c>
      <c r="D67" s="109" cm="1">
        <f t="array" ref="D67">SUMPRODUCT('Cost and Efficiency Data (R)'!$B$42:$AE$49*('Cost and Efficiency Data (R)'!$B$41:$AE$41=Pathways!D18)*('Cost and Efficiency Data (R)'!$B$40:$AE$40=Pathways!D$12)*('Cost and Efficiency Data (R)'!$A$42:$A$49=Pathways!D11))</f>
        <v>0</v>
      </c>
      <c r="E67" s="109" cm="1">
        <f t="array" ref="E67">SUMPRODUCT('Cost and Efficiency Data (R)'!$B$42:$AE$49*('Cost and Efficiency Data (R)'!$B$41:$AE$41=Pathways!E18)*('Cost and Efficiency Data (R)'!$B$40:$AE$40=Pathways!E$12)*('Cost and Efficiency Data (R)'!$A$42:$A$49=Pathways!E11))</f>
        <v>0</v>
      </c>
      <c r="F67" s="109" cm="1">
        <f t="array" ref="F67">SUMPRODUCT('Cost and Efficiency Data (R)'!$B$42:$AE$49*('Cost and Efficiency Data (R)'!$B$41:$AE$41=Pathways!F18)*('Cost and Efficiency Data (R)'!$B$40:$AE$40=Pathways!F$12)*('Cost and Efficiency Data (R)'!$A$42:$A$49=Pathways!F11))</f>
        <v>0</v>
      </c>
      <c r="G67" s="109" cm="1">
        <f t="array" ref="G67">SUMPRODUCT('Cost and Efficiency Data (R)'!$B$42:$AE$49*('Cost and Efficiency Data (R)'!$B$41:$AE$41=Pathways!G18)*('Cost and Efficiency Data (R)'!$B$40:$AE$40=Pathways!G$12)*('Cost and Efficiency Data (R)'!$A$42:$A$49=Pathways!G11))</f>
        <v>0</v>
      </c>
      <c r="H67" s="109" cm="1">
        <f t="array" ref="H67">SUMPRODUCT('Cost and Efficiency Data (R)'!$B$42:$AE$49*('Cost and Efficiency Data (R)'!$B$41:$AE$41=Pathways!H18)*('Cost and Efficiency Data (R)'!$B$40:$AE$40=Pathways!H$12)*('Cost and Efficiency Data (R)'!$A$42:$A$49=Pathways!H11))</f>
        <v>0</v>
      </c>
      <c r="I67" s="109" cm="1">
        <f t="array" ref="I67">SUMPRODUCT('Cost and Efficiency Data (R)'!$B$42:$AE$49*('Cost and Efficiency Data (R)'!$B$41:$AE$41=Pathways!I18)*('Cost and Efficiency Data (R)'!$B$40:$AE$40=Pathways!I$12)*('Cost and Efficiency Data (R)'!$A$42:$A$49=Pathways!I11))</f>
        <v>0</v>
      </c>
      <c r="J67" s="109" cm="1">
        <f t="array" ref="J67">SUMPRODUCT('Cost and Efficiency Data (R)'!$B$42:$AE$49*('Cost and Efficiency Data (R)'!$B$41:$AE$41=Pathways!J18)*('Cost and Efficiency Data (R)'!$B$40:$AE$40=Pathways!J$12)*('Cost and Efficiency Data (R)'!$A$42:$A$49=Pathways!J11))</f>
        <v>0</v>
      </c>
      <c r="K67" s="16"/>
      <c r="L67" s="202" cm="1">
        <f t="array" ref="L67">SUMPRODUCT('Cost and Efficiency Data (R)'!$B$42:$AE$49*('Cost and Efficiency Data (R)'!$B$41:$AE$41=Pathways!L18)*('Cost and Efficiency Data (R)'!$B$40:$AE$40=Pathways!L$12)*('Cost and Efficiency Data (R)'!$A$42:$A$49=Pathways!L11))</f>
        <v>339.18029652106071</v>
      </c>
      <c r="M67" s="202" cm="1">
        <f t="array" ref="M67">SUMPRODUCT('Cost and Efficiency Data (R)'!$B$42:$AE$49*('Cost and Efficiency Data (R)'!$B$41:$AE$41=Pathways!M18)*('Cost and Efficiency Data (R)'!$B$40:$AE$40=Pathways!M$12)*('Cost and Efficiency Data (R)'!$A$42:$A$49=Pathways!M11))</f>
        <v>330.67731975695602</v>
      </c>
      <c r="N67" s="202" cm="1">
        <f t="array" ref="N67">SUMPRODUCT('Cost and Efficiency Data (R)'!$B$42:$AE$49*('Cost and Efficiency Data (R)'!$B$41:$AE$41=Pathways!N18)*('Cost and Efficiency Data (R)'!$B$40:$AE$40=Pathways!N$12)*('Cost and Efficiency Data (R)'!$A$42:$A$49=Pathways!N11))</f>
        <v>305.08401604161105</v>
      </c>
      <c r="O67" s="202" cm="1">
        <f t="array" ref="O67">SUMPRODUCT('Cost and Efficiency Data (R)'!$B$42:$AE$49*('Cost and Efficiency Data (R)'!$B$41:$AE$41=Pathways!O18)*('Cost and Efficiency Data (R)'!$B$40:$AE$40=Pathways!O$12)*('Cost and Efficiency Data (R)'!$A$42:$A$49=Pathways!O11))</f>
        <v>284.90484751042516</v>
      </c>
      <c r="P67" s="202" cm="1">
        <f t="array" ref="P67">SUMPRODUCT('Cost and Efficiency Data (R)'!$B$42:$AE$49*('Cost and Efficiency Data (R)'!$B$41:$AE$41=Pathways!P18)*('Cost and Efficiency Data (R)'!$B$40:$AE$40=Pathways!P$12)*('Cost and Efficiency Data (R)'!$A$42:$A$49=Pathways!P11))</f>
        <v>251.86452775992291</v>
      </c>
      <c r="Q67" s="202" cm="1">
        <f t="array" ref="Q67">SUMPRODUCT('Cost and Efficiency Data (R)'!$B$42:$AE$49*('Cost and Efficiency Data (R)'!$B$41:$AE$41=Pathways!Q18)*('Cost and Efficiency Data (R)'!$B$40:$AE$40=Pathways!Q$12)*('Cost and Efficiency Data (R)'!$A$42:$A$49=Pathways!Q11))</f>
        <v>233.04796242073567</v>
      </c>
      <c r="R67" s="202" cm="1">
        <f t="array" ref="R67">SUMPRODUCT('Cost and Efficiency Data (R)'!$B$42:$AE$49*('Cost and Efficiency Data (R)'!$B$41:$AE$41=Pathways!R18)*('Cost and Efficiency Data (R)'!$B$40:$AE$40=Pathways!R$12)*('Cost and Efficiency Data (R)'!$A$42:$A$49=Pathways!R11))</f>
        <v>211.95434419642177</v>
      </c>
      <c r="T67" s="109" cm="1">
        <f t="array" ref="T67">SUMPRODUCT('Cost and Efficiency Data (R)'!$B$42:$AE$49*('Cost and Efficiency Data (R)'!$B$41:$AE$41=Pathways!T18)*('Cost and Efficiency Data (R)'!$B$40:$AE$40=Pathways!T$12)*('Cost and Efficiency Data (R)'!$A$42:$A$49=Pathways!T11))</f>
        <v>339.18029652106071</v>
      </c>
      <c r="U67" s="109" cm="1">
        <f t="array" ref="U67">SUMPRODUCT('Cost and Efficiency Data (R)'!$B$42:$AE$49*('Cost and Efficiency Data (R)'!$B$41:$AE$41=Pathways!U18)*('Cost and Efficiency Data (R)'!$B$40:$AE$40=Pathways!U$12)*('Cost and Efficiency Data (R)'!$A$42:$A$49=Pathways!U11))</f>
        <v>330.67731975695602</v>
      </c>
      <c r="V67" s="109" cm="1">
        <f t="array" ref="V67">SUMPRODUCT('Cost and Efficiency Data (R)'!$B$42:$AE$49*('Cost and Efficiency Data (R)'!$B$41:$AE$41=Pathways!V18)*('Cost and Efficiency Data (R)'!$B$40:$AE$40=Pathways!V$12)*('Cost and Efficiency Data (R)'!$A$42:$A$49=Pathways!V11))</f>
        <v>305.08401604161105</v>
      </c>
      <c r="W67" s="109" cm="1">
        <f t="array" ref="W67">SUMPRODUCT('Cost and Efficiency Data (R)'!$B$42:$AE$49*('Cost and Efficiency Data (R)'!$B$41:$AE$41=Pathways!W18)*('Cost and Efficiency Data (R)'!$B$40:$AE$40=Pathways!W$12)*('Cost and Efficiency Data (R)'!$A$42:$A$49=Pathways!W11))</f>
        <v>284.90484751042516</v>
      </c>
      <c r="X67" s="109" cm="1">
        <f t="array" ref="X67">SUMPRODUCT('Cost and Efficiency Data (R)'!$B$42:$AE$49*('Cost and Efficiency Data (R)'!$B$41:$AE$41=Pathways!X18)*('Cost and Efficiency Data (R)'!$B$40:$AE$40=Pathways!X$12)*('Cost and Efficiency Data (R)'!$A$42:$A$49=Pathways!X11))</f>
        <v>251.86452775992291</v>
      </c>
      <c r="Y67" s="109" cm="1">
        <f t="array" ref="Y67">SUMPRODUCT('Cost and Efficiency Data (R)'!$B$42:$AE$49*('Cost and Efficiency Data (R)'!$B$41:$AE$41=Pathways!Y18)*('Cost and Efficiency Data (R)'!$B$40:$AE$40=Pathways!Y$12)*('Cost and Efficiency Data (R)'!$A$42:$A$49=Pathways!Y11))</f>
        <v>233.04796242073567</v>
      </c>
      <c r="Z67" s="109" cm="1">
        <f t="array" ref="Z67">SUMPRODUCT('Cost and Efficiency Data (R)'!$B$42:$AE$49*('Cost and Efficiency Data (R)'!$B$41:$AE$41=Pathways!Z18)*('Cost and Efficiency Data (R)'!$B$40:$AE$40=Pathways!Z$12)*('Cost and Efficiency Data (R)'!$A$42:$A$49=Pathways!Z11))</f>
        <v>211.95434419642177</v>
      </c>
      <c r="AA67" s="16"/>
      <c r="AB67" s="195" t="s">
        <v>94</v>
      </c>
    </row>
    <row r="68" spans="2:28" ht="14" x14ac:dyDescent="0.25">
      <c r="B68" s="8"/>
      <c r="C68" s="159" t="s">
        <v>95</v>
      </c>
      <c r="D68" s="110" cm="1">
        <f t="array" ref="D68">SUMPRODUCT('Cost and Efficiency Data (R)'!$B$42:$AE$49*('Cost and Efficiency Data (R)'!$B$41:$AE$41=Pathways!D18)*('Cost and Efficiency Data (R)'!$B$40:$AE$40="H2 Pipeline Cost")*('Cost and Efficiency Data (R)'!$A$42:$A$49=Pathways!D11))</f>
        <v>3.1885663909648533E-3</v>
      </c>
      <c r="E68" s="110" cm="1">
        <f t="array" ref="E68">SUMPRODUCT('Cost and Efficiency Data (R)'!$B$42:$AE$49*('Cost and Efficiency Data (R)'!$B$41:$AE$41=Pathways!E18)*('Cost and Efficiency Data (R)'!$B$40:$AE$40="H2 Pipeline Cost")*('Cost and Efficiency Data (R)'!$A$42:$A$49=Pathways!E11))</f>
        <v>3.1885663909648533E-3</v>
      </c>
      <c r="F68" s="110" cm="1">
        <f t="array" ref="F68">SUMPRODUCT('Cost and Efficiency Data (R)'!$B$42:$AE$49*('Cost and Efficiency Data (R)'!$B$41:$AE$41=Pathways!F18)*('Cost and Efficiency Data (R)'!$B$40:$AE$40="H2 Pipeline Cost")*('Cost and Efficiency Data (R)'!$A$42:$A$49=Pathways!F11))</f>
        <v>3.1885663909648533E-3</v>
      </c>
      <c r="G68" s="110" cm="1">
        <f t="array" ref="G68">SUMPRODUCT('Cost and Efficiency Data (R)'!$B$42:$AE$49*('Cost and Efficiency Data (R)'!$B$41:$AE$41=Pathways!G18)*('Cost and Efficiency Data (R)'!$B$40:$AE$40="H2 Pipeline Cost")*('Cost and Efficiency Data (R)'!$A$42:$A$49=Pathways!G11))</f>
        <v>3.1885663909648533E-3</v>
      </c>
      <c r="H68" s="110" cm="1">
        <f t="array" ref="H68">SUMPRODUCT('Cost and Efficiency Data (R)'!$B$42:$AE$49*('Cost and Efficiency Data (R)'!$B$41:$AE$41=Pathways!H18)*('Cost and Efficiency Data (R)'!$B$40:$AE$40="H2 Pipeline Cost")*('Cost and Efficiency Data (R)'!$A$42:$A$49=Pathways!H11))</f>
        <v>3.1885663909648533E-3</v>
      </c>
      <c r="I68" s="110" cm="1">
        <f t="array" ref="I68">SUMPRODUCT('Cost and Efficiency Data (R)'!$B$42:$AE$49*('Cost and Efficiency Data (R)'!$B$41:$AE$41=Pathways!I18)*('Cost and Efficiency Data (R)'!$B$40:$AE$40="H2 Pipeline Cost")*('Cost and Efficiency Data (R)'!$A$42:$A$49=Pathways!I11))</f>
        <v>3.1885663909648533E-3</v>
      </c>
      <c r="J68" s="110" cm="1">
        <f t="array" ref="J68">SUMPRODUCT('Cost and Efficiency Data (R)'!$B$42:$AE$49*('Cost and Efficiency Data (R)'!$B$41:$AE$41=Pathways!J18)*('Cost and Efficiency Data (R)'!$B$40:$AE$40="H2 Pipeline Cost")*('Cost and Efficiency Data (R)'!$A$42:$A$49=Pathways!J11))</f>
        <v>3.1885663909648533E-3</v>
      </c>
      <c r="K68" s="16"/>
      <c r="L68" s="110" cm="1">
        <f t="array" ref="L68">SUMPRODUCT('Cost and Efficiency Data (R)'!$B$42:$AE$49*('Cost and Efficiency Data (R)'!$B$41:$AE$41=Pathways!L18)*('Cost and Efficiency Data (R)'!$B$40:$AE$40="H2 Pipeline Cost")*('Cost and Efficiency Data (R)'!$A$42:$A$49=Pathways!L11))</f>
        <v>3.1885663909648533E-3</v>
      </c>
      <c r="M68" s="110" cm="1">
        <f t="array" ref="M68">SUMPRODUCT('Cost and Efficiency Data (R)'!$B$42:$AE$49*('Cost and Efficiency Data (R)'!$B$41:$AE$41=Pathways!M18)*('Cost and Efficiency Data (R)'!$B$40:$AE$40="H2 Pipeline Cost")*('Cost and Efficiency Data (R)'!$A$42:$A$49=Pathways!M11))</f>
        <v>3.1885663909648533E-3</v>
      </c>
      <c r="N68" s="110" cm="1">
        <f t="array" ref="N68">SUMPRODUCT('Cost and Efficiency Data (R)'!$B$42:$AE$49*('Cost and Efficiency Data (R)'!$B$41:$AE$41=Pathways!N18)*('Cost and Efficiency Data (R)'!$B$40:$AE$40="H2 Pipeline Cost")*('Cost and Efficiency Data (R)'!$A$42:$A$49=Pathways!N11))</f>
        <v>3.1885663909648533E-3</v>
      </c>
      <c r="O68" s="110" cm="1">
        <f t="array" ref="O68">SUMPRODUCT('Cost and Efficiency Data (R)'!$B$42:$AE$49*('Cost and Efficiency Data (R)'!$B$41:$AE$41=Pathways!O18)*('Cost and Efficiency Data (R)'!$B$40:$AE$40="H2 Pipeline Cost")*('Cost and Efficiency Data (R)'!$A$42:$A$49=Pathways!O11))</f>
        <v>3.1885663909648533E-3</v>
      </c>
      <c r="P68" s="110" cm="1">
        <f t="array" ref="P68">SUMPRODUCT('Cost and Efficiency Data (R)'!$B$42:$AE$49*('Cost and Efficiency Data (R)'!$B$41:$AE$41=Pathways!P18)*('Cost and Efficiency Data (R)'!$B$40:$AE$40="H2 Pipeline Cost")*('Cost and Efficiency Data (R)'!$A$42:$A$49=Pathways!P11))</f>
        <v>3.1885663909648533E-3</v>
      </c>
      <c r="Q68" s="110" cm="1">
        <f t="array" ref="Q68">SUMPRODUCT('Cost and Efficiency Data (R)'!$B$42:$AE$49*('Cost and Efficiency Data (R)'!$B$41:$AE$41=Pathways!Q18)*('Cost and Efficiency Data (R)'!$B$40:$AE$40="H2 Pipeline Cost")*('Cost and Efficiency Data (R)'!$A$42:$A$49=Pathways!Q11))</f>
        <v>3.1885663909648533E-3</v>
      </c>
      <c r="R68" s="110" cm="1">
        <f t="array" ref="R68">SUMPRODUCT('Cost and Efficiency Data (R)'!$B$42:$AE$49*('Cost and Efficiency Data (R)'!$B$41:$AE$41=Pathways!R18)*('Cost and Efficiency Data (R)'!$B$40:$AE$40="H2 Pipeline Cost")*('Cost and Efficiency Data (R)'!$A$42:$A$49=Pathways!R11))</f>
        <v>3.1885663909648533E-3</v>
      </c>
      <c r="T68" s="110" cm="1">
        <f t="array" ref="T68">SUMPRODUCT('Cost and Efficiency Data (R)'!$B$42:$AE$49*('Cost and Efficiency Data (R)'!$B$41:$AE$41=Pathways!T18)*('Cost and Efficiency Data (R)'!$B$40:$AE$40="H2 Pipeline Cost")*('Cost and Efficiency Data (R)'!$A$42:$A$49=Pathways!T11))</f>
        <v>3.1885663909648533E-3</v>
      </c>
      <c r="U68" s="110" cm="1">
        <f t="array" ref="U68">SUMPRODUCT('Cost and Efficiency Data (R)'!$B$42:$AE$49*('Cost and Efficiency Data (R)'!$B$41:$AE$41=Pathways!U18)*('Cost and Efficiency Data (R)'!$B$40:$AE$40="H2 Pipeline Cost")*('Cost and Efficiency Data (R)'!$A$42:$A$49=Pathways!U11))</f>
        <v>3.1885663909648533E-3</v>
      </c>
      <c r="V68" s="110" cm="1">
        <f t="array" ref="V68">SUMPRODUCT('Cost and Efficiency Data (R)'!$B$42:$AE$49*('Cost and Efficiency Data (R)'!$B$41:$AE$41=Pathways!V18)*('Cost and Efficiency Data (R)'!$B$40:$AE$40="H2 Pipeline Cost")*('Cost and Efficiency Data (R)'!$A$42:$A$49=Pathways!V11))</f>
        <v>3.1885663909648533E-3</v>
      </c>
      <c r="W68" s="110" cm="1">
        <f t="array" ref="W68">SUMPRODUCT('Cost and Efficiency Data (R)'!$B$42:$AE$49*('Cost and Efficiency Data (R)'!$B$41:$AE$41=Pathways!W18)*('Cost and Efficiency Data (R)'!$B$40:$AE$40="H2 Pipeline Cost")*('Cost and Efficiency Data (R)'!$A$42:$A$49=Pathways!W11))</f>
        <v>3.1885663909648533E-3</v>
      </c>
      <c r="X68" s="110" cm="1">
        <f t="array" ref="X68">SUMPRODUCT('Cost and Efficiency Data (R)'!$B$42:$AE$49*('Cost and Efficiency Data (R)'!$B$41:$AE$41=Pathways!X18)*('Cost and Efficiency Data (R)'!$B$40:$AE$40="H2 Pipeline Cost")*('Cost and Efficiency Data (R)'!$A$42:$A$49=Pathways!X11))</f>
        <v>3.1885663909648533E-3</v>
      </c>
      <c r="Y68" s="110" cm="1">
        <f t="array" ref="Y68">SUMPRODUCT('Cost and Efficiency Data (R)'!$B$42:$AE$49*('Cost and Efficiency Data (R)'!$B$41:$AE$41=Pathways!Y18)*('Cost and Efficiency Data (R)'!$B$40:$AE$40="H2 Pipeline Cost")*('Cost and Efficiency Data (R)'!$A$42:$A$49=Pathways!Y11))</f>
        <v>3.1885663909648533E-3</v>
      </c>
      <c r="Z68" s="110" cm="1">
        <f t="array" ref="Z68">SUMPRODUCT('Cost and Efficiency Data (R)'!$B$42:$AE$49*('Cost and Efficiency Data (R)'!$B$41:$AE$41=Pathways!Z18)*('Cost and Efficiency Data (R)'!$B$40:$AE$40="H2 Pipeline Cost")*('Cost and Efficiency Data (R)'!$A$42:$A$49=Pathways!Z11))</f>
        <v>3.1885663909648533E-3</v>
      </c>
      <c r="AA68" s="16"/>
      <c r="AB68" s="195" t="s">
        <v>96</v>
      </c>
    </row>
    <row r="69" spans="2:28" ht="14" x14ac:dyDescent="0.25">
      <c r="B69" s="8"/>
      <c r="C69" s="159" t="s">
        <v>97</v>
      </c>
      <c r="D69" s="111" cm="1">
        <f t="array" ref="D69">IF(D12=Dropdowns!$E$2,IF(D23=Dropdowns!$J$2,SUMPRODUCT('Cost and Efficiency Data (R)'!$B$42:$AE$49*('Cost and Efficiency Data (R)'!$B$41:$AE$41=Pathways!D18)*('Cost and Efficiency Data (R)'!$B$40:$AE$40="H2 Underground Storage Cost")*('Cost and Efficiency Data (R)'!$A$42:$A$49=Pathways!D11)),0),0)</f>
        <v>0</v>
      </c>
      <c r="E69" s="111" cm="1">
        <f t="array" ref="E69">IF(E12=Dropdowns!$E$2,IF(E23=Dropdowns!$J$2,SUMPRODUCT('Cost and Efficiency Data (R)'!$B$42:$AE$49*('Cost and Efficiency Data (R)'!$B$41:$AE$41=Pathways!E18)*('Cost and Efficiency Data (R)'!$B$40:$AE$40="H2 Underground Storage Cost")*('Cost and Efficiency Data (R)'!$A$42:$A$49=Pathways!E11)),0),0)</f>
        <v>2.3696682464454977</v>
      </c>
      <c r="F69" s="111" cm="1">
        <f t="array" ref="F69">IF(F12=Dropdowns!$E$2,IF(F23=Dropdowns!$J$2,SUMPRODUCT('Cost and Efficiency Data (R)'!$B$42:$AE$49*('Cost and Efficiency Data (R)'!$B$41:$AE$41=Pathways!F18)*('Cost and Efficiency Data (R)'!$B$40:$AE$40="H2 Underground Storage Cost")*('Cost and Efficiency Data (R)'!$A$42:$A$49=Pathways!F11)),0),0)</f>
        <v>2.3696682464454977</v>
      </c>
      <c r="G69" s="111" cm="1">
        <f t="array" ref="G69">IF(G12=Dropdowns!$E$2,IF(G23=Dropdowns!$J$2,SUMPRODUCT('Cost and Efficiency Data (R)'!$B$42:$AE$49*('Cost and Efficiency Data (R)'!$B$41:$AE$41=Pathways!G18)*('Cost and Efficiency Data (R)'!$B$40:$AE$40="H2 Underground Storage Cost")*('Cost and Efficiency Data (R)'!$A$42:$A$49=Pathways!G11)),0),0)</f>
        <v>2.3696682464454977</v>
      </c>
      <c r="H69" s="111" cm="1">
        <f t="array" ref="H69">IF(H12=Dropdowns!$E$2,IF(H23=Dropdowns!$J$2,SUMPRODUCT('Cost and Efficiency Data (R)'!$B$42:$AE$49*('Cost and Efficiency Data (R)'!$B$41:$AE$41=Pathways!H18)*('Cost and Efficiency Data (R)'!$B$40:$AE$40="H2 Underground Storage Cost")*('Cost and Efficiency Data (R)'!$A$42:$A$49=Pathways!H11)),0),0)</f>
        <v>2.3696682464454977</v>
      </c>
      <c r="I69" s="111" cm="1">
        <f t="array" ref="I69">IF(I12=Dropdowns!$E$2,IF(I23=Dropdowns!$J$2,SUMPRODUCT('Cost and Efficiency Data (R)'!$B$42:$AE$49*('Cost and Efficiency Data (R)'!$B$41:$AE$41=Pathways!I18)*('Cost and Efficiency Data (R)'!$B$40:$AE$40="H2 Underground Storage Cost")*('Cost and Efficiency Data (R)'!$A$42:$A$49=Pathways!I11)),0),0)</f>
        <v>2.3696682464454977</v>
      </c>
      <c r="J69" s="111" cm="1">
        <f t="array" ref="J69">IF(J12=Dropdowns!$E$2,IF(J23=Dropdowns!$J$2,SUMPRODUCT('Cost and Efficiency Data (R)'!$B$42:$AE$49*('Cost and Efficiency Data (R)'!$B$41:$AE$41=Pathways!J18)*('Cost and Efficiency Data (R)'!$B$40:$AE$40="H2 Underground Storage Cost")*('Cost and Efficiency Data (R)'!$A$42:$A$49=Pathways!J11)),0),0)</f>
        <v>2.3696682464454977</v>
      </c>
      <c r="K69" s="16"/>
      <c r="L69" s="203" cm="1">
        <f t="array" ref="L69">IF(L12=Dropdowns!$E$2,IF(L23=Dropdowns!$J$2,SUMPRODUCT('Cost and Efficiency Data (R)'!$B$42:$AE$49*('Cost and Efficiency Data (R)'!$B$41:$AE$41=Pathways!L18)*('Cost and Efficiency Data (R)'!$B$40:$AE$40="H2 Underground Storage Cost")*('Cost and Efficiency Data (R)'!$A$42:$A$49=Pathways!L11)),0),0)</f>
        <v>0</v>
      </c>
      <c r="M69" s="203" cm="1">
        <f t="array" ref="M69">IF(M12=Dropdowns!$E$2,IF(M23=Dropdowns!$J$2,SUMPRODUCT('Cost and Efficiency Data (R)'!$B$42:$AE$49*('Cost and Efficiency Data (R)'!$B$41:$AE$41=Pathways!M18)*('Cost and Efficiency Data (R)'!$B$40:$AE$40="H2 Underground Storage Cost")*('Cost and Efficiency Data (R)'!$A$42:$A$49=Pathways!M11)),0),0)</f>
        <v>0</v>
      </c>
      <c r="N69" s="203" cm="1">
        <f t="array" ref="N69">IF(N12=Dropdowns!$E$2,IF(N23=Dropdowns!$J$2,SUMPRODUCT('Cost and Efficiency Data (R)'!$B$42:$AE$49*('Cost and Efficiency Data (R)'!$B$41:$AE$41=Pathways!N18)*('Cost and Efficiency Data (R)'!$B$40:$AE$40="H2 Underground Storage Cost")*('Cost and Efficiency Data (R)'!$A$42:$A$49=Pathways!N11)),0),0)</f>
        <v>0</v>
      </c>
      <c r="O69" s="203" cm="1">
        <f t="array" ref="O69">IF(O12=Dropdowns!$E$2,IF(O23=Dropdowns!$J$2,SUMPRODUCT('Cost and Efficiency Data (R)'!$B$42:$AE$49*('Cost and Efficiency Data (R)'!$B$41:$AE$41=Pathways!O18)*('Cost and Efficiency Data (R)'!$B$40:$AE$40="H2 Underground Storage Cost")*('Cost and Efficiency Data (R)'!$A$42:$A$49=Pathways!O11)),0),0)</f>
        <v>0</v>
      </c>
      <c r="P69" s="203" cm="1">
        <f t="array" ref="P69">IF(P12=Dropdowns!$E$2,IF(P23=Dropdowns!$J$2,SUMPRODUCT('Cost and Efficiency Data (R)'!$B$42:$AE$49*('Cost and Efficiency Data (R)'!$B$41:$AE$41=Pathways!P18)*('Cost and Efficiency Data (R)'!$B$40:$AE$40="H2 Underground Storage Cost")*('Cost and Efficiency Data (R)'!$A$42:$A$49=Pathways!P11)),0),0)</f>
        <v>0</v>
      </c>
      <c r="Q69" s="203" cm="1">
        <f t="array" ref="Q69">IF(Q12=Dropdowns!$E$2,IF(Q23=Dropdowns!$J$2,SUMPRODUCT('Cost and Efficiency Data (R)'!$B$42:$AE$49*('Cost and Efficiency Data (R)'!$B$41:$AE$41=Pathways!Q18)*('Cost and Efficiency Data (R)'!$B$40:$AE$40="H2 Underground Storage Cost")*('Cost and Efficiency Data (R)'!$A$42:$A$49=Pathways!Q11)),0),0)</f>
        <v>0</v>
      </c>
      <c r="R69" s="203" cm="1">
        <f t="array" ref="R69">IF(R12=Dropdowns!$E$2,IF(R23=Dropdowns!$J$2,SUMPRODUCT('Cost and Efficiency Data (R)'!$B$42:$AE$49*('Cost and Efficiency Data (R)'!$B$41:$AE$41=Pathways!R18)*('Cost and Efficiency Data (R)'!$B$40:$AE$40="H2 Underground Storage Cost")*('Cost and Efficiency Data (R)'!$A$42:$A$49=Pathways!R11)),0),0)</f>
        <v>0</v>
      </c>
      <c r="T69" s="111" cm="1">
        <f t="array" ref="T69">IF(T12=Dropdowns!$E$2,IF(T23=Dropdowns!$J$2,SUMPRODUCT('Cost and Efficiency Data (R)'!$B$42:$AE$49*('Cost and Efficiency Data (R)'!$B$41:$AE$41=Pathways!T18)*('Cost and Efficiency Data (R)'!$B$40:$AE$40="H2 Underground Storage Cost")*('Cost and Efficiency Data (R)'!$A$42:$A$49=Pathways!T11)),0),0)</f>
        <v>0</v>
      </c>
      <c r="U69" s="111" cm="1">
        <f t="array" ref="U69">IF(U12=Dropdowns!$E$2,IF(U23=Dropdowns!$J$2,SUMPRODUCT('Cost and Efficiency Data (R)'!$B$42:$AE$49*('Cost and Efficiency Data (R)'!$B$41:$AE$41=Pathways!U18)*('Cost and Efficiency Data (R)'!$B$40:$AE$40="H2 Underground Storage Cost")*('Cost and Efficiency Data (R)'!$A$42:$A$49=Pathways!U11)),0),0)</f>
        <v>0</v>
      </c>
      <c r="V69" s="111" cm="1">
        <f t="array" ref="V69">IF(V12=Dropdowns!$E$2,IF(V23=Dropdowns!$J$2,SUMPRODUCT('Cost and Efficiency Data (R)'!$B$42:$AE$49*('Cost and Efficiency Data (R)'!$B$41:$AE$41=Pathways!V18)*('Cost and Efficiency Data (R)'!$B$40:$AE$40="H2 Underground Storage Cost")*('Cost and Efficiency Data (R)'!$A$42:$A$49=Pathways!V11)),0),0)</f>
        <v>0</v>
      </c>
      <c r="W69" s="111" cm="1">
        <f t="array" ref="W69">IF(W12=Dropdowns!$E$2,IF(W23=Dropdowns!$J$2,SUMPRODUCT('Cost and Efficiency Data (R)'!$B$42:$AE$49*('Cost and Efficiency Data (R)'!$B$41:$AE$41=Pathways!W18)*('Cost and Efficiency Data (R)'!$B$40:$AE$40="H2 Underground Storage Cost")*('Cost and Efficiency Data (R)'!$A$42:$A$49=Pathways!W11)),0),0)</f>
        <v>0</v>
      </c>
      <c r="X69" s="111" cm="1">
        <f t="array" ref="X69">IF(X12=Dropdowns!$E$2,IF(X23=Dropdowns!$J$2,SUMPRODUCT('Cost and Efficiency Data (R)'!$B$42:$AE$49*('Cost and Efficiency Data (R)'!$B$41:$AE$41=Pathways!X18)*('Cost and Efficiency Data (R)'!$B$40:$AE$40="H2 Underground Storage Cost")*('Cost and Efficiency Data (R)'!$A$42:$A$49=Pathways!X11)),0),0)</f>
        <v>0</v>
      </c>
      <c r="Y69" s="111" cm="1">
        <f t="array" ref="Y69">IF(Y12=Dropdowns!$E$2,IF(Y23=Dropdowns!$J$2,SUMPRODUCT('Cost and Efficiency Data (R)'!$B$42:$AE$49*('Cost and Efficiency Data (R)'!$B$41:$AE$41=Pathways!Y18)*('Cost and Efficiency Data (R)'!$B$40:$AE$40="H2 Underground Storage Cost")*('Cost and Efficiency Data (R)'!$A$42:$A$49=Pathways!Y11)),0),0)</f>
        <v>0</v>
      </c>
      <c r="Z69" s="111" cm="1">
        <f t="array" ref="Z69">IF(Z12=Dropdowns!$E$2,IF(Z23=Dropdowns!$J$2,SUMPRODUCT('Cost and Efficiency Data (R)'!$B$42:$AE$49*('Cost and Efficiency Data (R)'!$B$41:$AE$41=Pathways!Z18)*('Cost and Efficiency Data (R)'!$B$40:$AE$40="H2 Underground Storage Cost")*('Cost and Efficiency Data (R)'!$A$42:$A$49=Pathways!Z11)),0),0)</f>
        <v>0</v>
      </c>
      <c r="AA69" s="16"/>
      <c r="AB69" s="195" t="s">
        <v>98</v>
      </c>
    </row>
    <row r="70" spans="2:28" ht="14" x14ac:dyDescent="0.25">
      <c r="B70" s="8"/>
      <c r="C70" s="159" t="s">
        <v>99</v>
      </c>
      <c r="D70" s="109" cm="1">
        <f t="array" ref="D70">SUMPRODUCT('Cost and Efficiency Data (R)'!$B$42:$AE$49*(Pathways!D$11='Cost and Efficiency Data (R)'!$A$42:$A$49)*('Cost and Efficiency Data (R)'!$B$41:$AE$41=Pathways!D$18)*("Steam Turbine"='Cost and Efficiency Data (R)'!$B$40:$AE$40))</f>
        <v>682</v>
      </c>
      <c r="E70" s="109" cm="1">
        <f t="array" ref="E70">SUMPRODUCT('Cost and Efficiency Data (R)'!$B$42:$AE$49*(Pathways!E$11='Cost and Efficiency Data (R)'!$A$42:$A$49)*('Cost and Efficiency Data (R)'!$B$41:$AE$41=Pathways!E$18)*("Steam Turbine"='Cost and Efficiency Data (R)'!$B$40:$AE$40))</f>
        <v>682</v>
      </c>
      <c r="F70" s="109" cm="1">
        <f t="array" ref="F70">SUMPRODUCT('Cost and Efficiency Data (R)'!$B$42:$AE$49*(Pathways!F$11='Cost and Efficiency Data (R)'!$A$42:$A$49)*('Cost and Efficiency Data (R)'!$B$41:$AE$41=Pathways!F$18)*("Steam Turbine"='Cost and Efficiency Data (R)'!$B$40:$AE$40))</f>
        <v>682</v>
      </c>
      <c r="G70" s="109" cm="1">
        <f t="array" ref="G70">SUMPRODUCT('Cost and Efficiency Data (R)'!$B$42:$AE$49*(Pathways!G$11='Cost and Efficiency Data (R)'!$A$42:$A$49)*('Cost and Efficiency Data (R)'!$B$41:$AE$41=Pathways!G$18)*("Steam Turbine"='Cost and Efficiency Data (R)'!$B$40:$AE$40))</f>
        <v>682</v>
      </c>
      <c r="H70" s="109" cm="1">
        <f t="array" ref="H70">SUMPRODUCT('Cost and Efficiency Data (R)'!$B$42:$AE$49*(Pathways!H$11='Cost and Efficiency Data (R)'!$A$42:$A$49)*('Cost and Efficiency Data (R)'!$B$41:$AE$41=Pathways!H$18)*("Steam Turbine"='Cost and Efficiency Data (R)'!$B$40:$AE$40))</f>
        <v>682</v>
      </c>
      <c r="I70" s="109" cm="1">
        <f t="array" ref="I70">SUMPRODUCT('Cost and Efficiency Data (R)'!$B$42:$AE$49*(Pathways!I$11='Cost and Efficiency Data (R)'!$A$42:$A$49)*('Cost and Efficiency Data (R)'!$B$41:$AE$41=Pathways!I$18)*("Steam Turbine"='Cost and Efficiency Data (R)'!$B$40:$AE$40))</f>
        <v>682</v>
      </c>
      <c r="J70" s="109" cm="1">
        <f t="array" ref="J70">SUMPRODUCT('Cost and Efficiency Data (R)'!$B$42:$AE$49*(Pathways!J$11='Cost and Efficiency Data (R)'!$A$42:$A$49)*('Cost and Efficiency Data (R)'!$B$41:$AE$41=Pathways!J$18)*("Steam Turbine"='Cost and Efficiency Data (R)'!$B$40:$AE$40))</f>
        <v>682</v>
      </c>
      <c r="K70" s="16"/>
      <c r="L70" s="109" cm="1">
        <f t="array" ref="L70">SUMPRODUCT('Cost and Efficiency Data (R)'!$B$42:$AE$49*(Pathways!L$11='Cost and Efficiency Data (R)'!$A$42:$A$49)*('Cost and Efficiency Data (R)'!$B$41:$AE$41=Pathways!L$18)*("Steam Turbine"='Cost and Efficiency Data (R)'!$B$40:$AE$40))</f>
        <v>682</v>
      </c>
      <c r="M70" s="109" cm="1">
        <f t="array" ref="M70">SUMPRODUCT('Cost and Efficiency Data (R)'!$B$42:$AE$49*(Pathways!M$11='Cost and Efficiency Data (R)'!$A$42:$A$49)*('Cost and Efficiency Data (R)'!$B$41:$AE$41=Pathways!M$18)*("Steam Turbine"='Cost and Efficiency Data (R)'!$B$40:$AE$40))</f>
        <v>682</v>
      </c>
      <c r="N70" s="109" cm="1">
        <f t="array" ref="N70">SUMPRODUCT('Cost and Efficiency Data (R)'!$B$42:$AE$49*(Pathways!N$11='Cost and Efficiency Data (R)'!$A$42:$A$49)*('Cost and Efficiency Data (R)'!$B$41:$AE$41=Pathways!N$18)*("Steam Turbine"='Cost and Efficiency Data (R)'!$B$40:$AE$40))</f>
        <v>682</v>
      </c>
      <c r="O70" s="109" cm="1">
        <f t="array" ref="O70">SUMPRODUCT('Cost and Efficiency Data (R)'!$B$42:$AE$49*(Pathways!O$11='Cost and Efficiency Data (R)'!$A$42:$A$49)*('Cost and Efficiency Data (R)'!$B$41:$AE$41=Pathways!O$18)*("Steam Turbine"='Cost and Efficiency Data (R)'!$B$40:$AE$40))</f>
        <v>682</v>
      </c>
      <c r="P70" s="109" cm="1">
        <f t="array" ref="P70">SUMPRODUCT('Cost and Efficiency Data (R)'!$B$42:$AE$49*(Pathways!P$11='Cost and Efficiency Data (R)'!$A$42:$A$49)*('Cost and Efficiency Data (R)'!$B$41:$AE$41=Pathways!P$18)*("Steam Turbine"='Cost and Efficiency Data (R)'!$B$40:$AE$40))</f>
        <v>682</v>
      </c>
      <c r="Q70" s="109" cm="1">
        <f t="array" ref="Q70">SUMPRODUCT('Cost and Efficiency Data (R)'!$B$42:$AE$49*(Pathways!Q$11='Cost and Efficiency Data (R)'!$A$42:$A$49)*('Cost and Efficiency Data (R)'!$B$41:$AE$41=Pathways!Q$18)*("Steam Turbine"='Cost and Efficiency Data (R)'!$B$40:$AE$40))</f>
        <v>682</v>
      </c>
      <c r="R70" s="109" cm="1">
        <f t="array" ref="R70">SUMPRODUCT('Cost and Efficiency Data (R)'!$B$42:$AE$49*(Pathways!R$11='Cost and Efficiency Data (R)'!$A$42:$A$49)*('Cost and Efficiency Data (R)'!$B$41:$AE$41=Pathways!R$18)*("Steam Turbine"='Cost and Efficiency Data (R)'!$B$40:$AE$40))</f>
        <v>682</v>
      </c>
      <c r="T70" s="109" cm="1">
        <f t="array" ref="T70">SUMPRODUCT('Cost and Efficiency Data (R)'!$B$42:$AE$49*(Pathways!T$11='Cost and Efficiency Data (R)'!$A$42:$A$49)*('Cost and Efficiency Data (R)'!$B$41:$AE$41=Pathways!T$18)*("Steam Turbine"='Cost and Efficiency Data (R)'!$B$40:$AE$40))</f>
        <v>682</v>
      </c>
      <c r="U70" s="109" cm="1">
        <f t="array" ref="U70">SUMPRODUCT('Cost and Efficiency Data (R)'!$B$42:$AE$49*(Pathways!U$11='Cost and Efficiency Data (R)'!$A$42:$A$49)*('Cost and Efficiency Data (R)'!$B$41:$AE$41=Pathways!U$18)*("Steam Turbine"='Cost and Efficiency Data (R)'!$B$40:$AE$40))</f>
        <v>682</v>
      </c>
      <c r="V70" s="109" cm="1">
        <f t="array" ref="V70">SUMPRODUCT('Cost and Efficiency Data (R)'!$B$42:$AE$49*(Pathways!V$11='Cost and Efficiency Data (R)'!$A$42:$A$49)*('Cost and Efficiency Data (R)'!$B$41:$AE$41=Pathways!V$18)*("Steam Turbine"='Cost and Efficiency Data (R)'!$B$40:$AE$40))</f>
        <v>682</v>
      </c>
      <c r="W70" s="109" cm="1">
        <f t="array" ref="W70">SUMPRODUCT('Cost and Efficiency Data (R)'!$B$42:$AE$49*(Pathways!W$11='Cost and Efficiency Data (R)'!$A$42:$A$49)*('Cost and Efficiency Data (R)'!$B$41:$AE$41=Pathways!W$18)*("Steam Turbine"='Cost and Efficiency Data (R)'!$B$40:$AE$40))</f>
        <v>682</v>
      </c>
      <c r="X70" s="109" cm="1">
        <f t="array" ref="X70">SUMPRODUCT('Cost and Efficiency Data (R)'!$B$42:$AE$49*(Pathways!X$11='Cost and Efficiency Data (R)'!$A$42:$A$49)*('Cost and Efficiency Data (R)'!$B$41:$AE$41=Pathways!X$18)*("Steam Turbine"='Cost and Efficiency Data (R)'!$B$40:$AE$40))</f>
        <v>682</v>
      </c>
      <c r="Y70" s="109" cm="1">
        <f t="array" ref="Y70">SUMPRODUCT('Cost and Efficiency Data (R)'!$B$42:$AE$49*(Pathways!Y$11='Cost and Efficiency Data (R)'!$A$42:$A$49)*('Cost and Efficiency Data (R)'!$B$41:$AE$41=Pathways!Y$18)*("Steam Turbine"='Cost and Efficiency Data (R)'!$B$40:$AE$40))</f>
        <v>682</v>
      </c>
      <c r="Z70" s="109" cm="1">
        <f t="array" ref="Z70">SUMPRODUCT('Cost and Efficiency Data (R)'!$B$42:$AE$49*(Pathways!Z$11='Cost and Efficiency Data (R)'!$A$42:$A$49)*('Cost and Efficiency Data (R)'!$B$41:$AE$41=Pathways!Z$18)*("Steam Turbine"='Cost and Efficiency Data (R)'!$B$40:$AE$40))</f>
        <v>682</v>
      </c>
      <c r="AA70" s="16"/>
      <c r="AB70" s="195" t="s">
        <v>100</v>
      </c>
    </row>
    <row r="71" spans="2:28" ht="14" x14ac:dyDescent="0.25">
      <c r="B71" s="8"/>
      <c r="C71" s="159" t="s">
        <v>101</v>
      </c>
      <c r="D71" s="112">
        <f t="shared" ref="D71" si="20">(D$24*(1+D$24)^D25)/((1+D$24)^D25-1)</f>
        <v>9.293067504542675E-2</v>
      </c>
      <c r="E71" s="112">
        <f t="shared" ref="E71:Z71" si="21">(E$24*(1+E$24)^E25)/((1+E$24)^E25-1)</f>
        <v>9.293067504542675E-2</v>
      </c>
      <c r="F71" s="112">
        <f t="shared" si="21"/>
        <v>9.293067504542675E-2</v>
      </c>
      <c r="G71" s="112">
        <f t="shared" si="21"/>
        <v>9.293067504542675E-2</v>
      </c>
      <c r="H71" s="112">
        <f t="shared" si="21"/>
        <v>9.293067504542675E-2</v>
      </c>
      <c r="I71" s="112">
        <f t="shared" si="21"/>
        <v>9.293067504542675E-2</v>
      </c>
      <c r="J71" s="112">
        <f t="shared" si="21"/>
        <v>9.293067504542675E-2</v>
      </c>
      <c r="K71" s="16"/>
      <c r="L71" s="112">
        <f t="shared" si="21"/>
        <v>9.293067504542675E-2</v>
      </c>
      <c r="M71" s="112">
        <f t="shared" si="21"/>
        <v>9.293067504542675E-2</v>
      </c>
      <c r="N71" s="112">
        <f t="shared" si="21"/>
        <v>9.293067504542675E-2</v>
      </c>
      <c r="O71" s="112">
        <f t="shared" si="21"/>
        <v>9.293067504542675E-2</v>
      </c>
      <c r="P71" s="112">
        <f t="shared" si="21"/>
        <v>9.293067504542675E-2</v>
      </c>
      <c r="Q71" s="112">
        <f t="shared" si="21"/>
        <v>9.293067504542675E-2</v>
      </c>
      <c r="R71" s="112">
        <f t="shared" si="21"/>
        <v>9.293067504542675E-2</v>
      </c>
      <c r="T71" s="112">
        <f t="shared" si="21"/>
        <v>9.293067504542675E-2</v>
      </c>
      <c r="U71" s="112">
        <f t="shared" si="21"/>
        <v>9.293067504542675E-2</v>
      </c>
      <c r="V71" s="112">
        <f t="shared" si="21"/>
        <v>9.293067504542675E-2</v>
      </c>
      <c r="W71" s="112">
        <f t="shared" si="21"/>
        <v>9.293067504542675E-2</v>
      </c>
      <c r="X71" s="112">
        <f t="shared" si="21"/>
        <v>9.293067504542675E-2</v>
      </c>
      <c r="Y71" s="112">
        <f t="shared" si="21"/>
        <v>9.293067504542675E-2</v>
      </c>
      <c r="Z71" s="112">
        <f t="shared" si="21"/>
        <v>9.293067504542675E-2</v>
      </c>
      <c r="AA71" s="16"/>
      <c r="AB71" s="195" t="s">
        <v>102</v>
      </c>
    </row>
    <row r="72" spans="2:28" ht="14" x14ac:dyDescent="0.25">
      <c r="B72" s="8"/>
      <c r="C72" s="159" t="s">
        <v>103</v>
      </c>
      <c r="D72" s="112">
        <f t="shared" ref="D72" si="22">(D$24*(1+D$24)^D26)/((1+D$24)^D26-1)</f>
        <v>7.3273472242949458E-2</v>
      </c>
      <c r="E72" s="112">
        <f t="shared" ref="E72:Z72" si="23">(E$24*(1+E$24)^E26)/((1+E$24)^E26-1)</f>
        <v>7.3273472242949458E-2</v>
      </c>
      <c r="F72" s="112">
        <f t="shared" si="23"/>
        <v>7.3273472242949458E-2</v>
      </c>
      <c r="G72" s="112">
        <f t="shared" si="23"/>
        <v>7.3273472242949458E-2</v>
      </c>
      <c r="H72" s="112">
        <f t="shared" si="23"/>
        <v>7.3273472242949458E-2</v>
      </c>
      <c r="I72" s="112">
        <f t="shared" si="23"/>
        <v>7.3273472242949458E-2</v>
      </c>
      <c r="J72" s="112">
        <f t="shared" si="23"/>
        <v>7.3273472242949458E-2</v>
      </c>
      <c r="K72" s="16"/>
      <c r="L72" s="112">
        <f t="shared" si="23"/>
        <v>7.3273472242949458E-2</v>
      </c>
      <c r="M72" s="112">
        <f t="shared" si="23"/>
        <v>7.3273472242949458E-2</v>
      </c>
      <c r="N72" s="112">
        <f t="shared" si="23"/>
        <v>7.3273472242949458E-2</v>
      </c>
      <c r="O72" s="112">
        <f t="shared" si="23"/>
        <v>7.3273472242949458E-2</v>
      </c>
      <c r="P72" s="112">
        <f t="shared" si="23"/>
        <v>7.3273472242949458E-2</v>
      </c>
      <c r="Q72" s="112">
        <f t="shared" si="23"/>
        <v>7.3273472242949458E-2</v>
      </c>
      <c r="R72" s="112">
        <f t="shared" si="23"/>
        <v>7.3273472242949458E-2</v>
      </c>
      <c r="T72" s="112">
        <f t="shared" si="23"/>
        <v>7.3273472242949458E-2</v>
      </c>
      <c r="U72" s="112">
        <f t="shared" si="23"/>
        <v>7.3273472242949458E-2</v>
      </c>
      <c r="V72" s="112">
        <f t="shared" si="23"/>
        <v>7.3273472242949458E-2</v>
      </c>
      <c r="W72" s="112">
        <f t="shared" si="23"/>
        <v>7.3273472242949458E-2</v>
      </c>
      <c r="X72" s="112">
        <f t="shared" si="23"/>
        <v>7.3273472242949458E-2</v>
      </c>
      <c r="Y72" s="112">
        <f t="shared" si="23"/>
        <v>7.3273472242949458E-2</v>
      </c>
      <c r="Z72" s="112">
        <f t="shared" si="23"/>
        <v>7.3273472242949458E-2</v>
      </c>
      <c r="AA72" s="16"/>
      <c r="AB72" s="195" t="s">
        <v>102</v>
      </c>
    </row>
    <row r="73" spans="2:28" ht="14" x14ac:dyDescent="0.25">
      <c r="B73" s="8"/>
      <c r="C73" s="159" t="s">
        <v>104</v>
      </c>
      <c r="D73" s="113" t="e" cm="1">
        <f t="array" ref="D73">SUMPRODUCT('Cost and Efficiency Data (R)'!$B$82:$U$89*('Cost and Efficiency Data (R)'!$A$82:$A$89=Pathways!D11)*(Pathways!D19='Cost and Efficiency Data (R)'!$B$81:$U$81)*('Cost and Efficiency Data (R)'!$B$80:$U$80=Pathways!D13))</f>
        <v>#VALUE!</v>
      </c>
      <c r="E73" s="113" t="e" cm="1">
        <f t="array" ref="E73">SUMPRODUCT('Cost and Efficiency Data (R)'!$B$82:$U$89*('Cost and Efficiency Data (R)'!$A$82:$A$89=Pathways!E11)*(Pathways!E19='Cost and Efficiency Data (R)'!$B$81:$U$81)*('Cost and Efficiency Data (R)'!$B$80:$U$80=Pathways!E13))</f>
        <v>#VALUE!</v>
      </c>
      <c r="F73" s="113" t="e" cm="1">
        <f t="array" ref="F73">SUMPRODUCT('Cost and Efficiency Data (R)'!$B$82:$U$89*('Cost and Efficiency Data (R)'!$A$82:$A$89=Pathways!F11)*(Pathways!F19='Cost and Efficiency Data (R)'!$B$81:$U$81)*('Cost and Efficiency Data (R)'!$B$80:$U$80=Pathways!F13))</f>
        <v>#VALUE!</v>
      </c>
      <c r="G73" s="113" t="e" cm="1">
        <f t="array" ref="G73">SUMPRODUCT('Cost and Efficiency Data (R)'!$B$82:$U$89*('Cost and Efficiency Data (R)'!$A$82:$A$89=Pathways!G11)*(Pathways!G19='Cost and Efficiency Data (R)'!$B$81:$U$81)*('Cost and Efficiency Data (R)'!$B$80:$U$80=Pathways!G13))</f>
        <v>#VALUE!</v>
      </c>
      <c r="H73" s="113" t="e" cm="1">
        <f t="array" ref="H73">SUMPRODUCT('Cost and Efficiency Data (R)'!$B$82:$U$89*('Cost and Efficiency Data (R)'!$A$82:$A$89=Pathways!H11)*(Pathways!H19='Cost and Efficiency Data (R)'!$B$81:$U$81)*('Cost and Efficiency Data (R)'!$B$80:$U$80=Pathways!H13))</f>
        <v>#VALUE!</v>
      </c>
      <c r="I73" s="113" t="e" cm="1">
        <f t="array" ref="I73">SUMPRODUCT('Cost and Efficiency Data (R)'!$B$82:$U$89*('Cost and Efficiency Data (R)'!$A$82:$A$89=Pathways!I11)*(Pathways!I19='Cost and Efficiency Data (R)'!$B$81:$U$81)*('Cost and Efficiency Data (R)'!$B$80:$U$80=Pathways!I13))</f>
        <v>#VALUE!</v>
      </c>
      <c r="J73" s="113" t="e" cm="1">
        <f t="array" ref="J73">SUMPRODUCT('Cost and Efficiency Data (R)'!$B$82:$U$89*('Cost and Efficiency Data (R)'!$A$82:$A$89=Pathways!J11)*(Pathways!J19='Cost and Efficiency Data (R)'!$B$81:$U$81)*('Cost and Efficiency Data (R)'!$B$80:$U$80=Pathways!J13))</f>
        <v>#VALUE!</v>
      </c>
      <c r="K73" s="16"/>
      <c r="L73" s="113" t="e" cm="1">
        <f t="array" ref="L73">SUMPRODUCT('Cost and Efficiency Data (R)'!$B$82:$U$89*('Cost and Efficiency Data (R)'!$A$82:$A$89=Pathways!L11)*(Pathways!L19='Cost and Efficiency Data (R)'!$B$81:$U$81)*('Cost and Efficiency Data (R)'!$B$80:$U$80=Pathways!L13))</f>
        <v>#VALUE!</v>
      </c>
      <c r="M73" s="113" t="e" cm="1">
        <f t="array" ref="M73">SUMPRODUCT('Cost and Efficiency Data (R)'!$B$82:$U$89*('Cost and Efficiency Data (R)'!$A$82:$A$89=Pathways!M11)*(Pathways!M19='Cost and Efficiency Data (R)'!$B$81:$U$81)*('Cost and Efficiency Data (R)'!$B$80:$U$80=Pathways!M13))</f>
        <v>#VALUE!</v>
      </c>
      <c r="N73" s="113" t="e" cm="1">
        <f t="array" ref="N73">SUMPRODUCT('Cost and Efficiency Data (R)'!$B$82:$U$89*('Cost and Efficiency Data (R)'!$A$82:$A$89=Pathways!N11)*(Pathways!N19='Cost and Efficiency Data (R)'!$B$81:$U$81)*('Cost and Efficiency Data (R)'!$B$80:$U$80=Pathways!N13))</f>
        <v>#VALUE!</v>
      </c>
      <c r="O73" s="113" t="e" cm="1">
        <f t="array" ref="O73">SUMPRODUCT('Cost and Efficiency Data (R)'!$B$82:$U$89*('Cost and Efficiency Data (R)'!$A$82:$A$89=Pathways!O11)*(Pathways!O19='Cost and Efficiency Data (R)'!$B$81:$U$81)*('Cost and Efficiency Data (R)'!$B$80:$U$80=Pathways!O13))</f>
        <v>#VALUE!</v>
      </c>
      <c r="P73" s="113" t="e" cm="1">
        <f t="array" ref="P73">SUMPRODUCT('Cost and Efficiency Data (R)'!$B$82:$U$89*('Cost and Efficiency Data (R)'!$A$82:$A$89=Pathways!P11)*(Pathways!P19='Cost and Efficiency Data (R)'!$B$81:$U$81)*('Cost and Efficiency Data (R)'!$B$80:$U$80=Pathways!P13))</f>
        <v>#VALUE!</v>
      </c>
      <c r="Q73" s="113" t="e" cm="1">
        <f t="array" ref="Q73">SUMPRODUCT('Cost and Efficiency Data (R)'!$B$82:$U$89*('Cost and Efficiency Data (R)'!$A$82:$A$89=Pathways!Q11)*(Pathways!Q19='Cost and Efficiency Data (R)'!$B$81:$U$81)*('Cost and Efficiency Data (R)'!$B$80:$U$80=Pathways!Q13))</f>
        <v>#VALUE!</v>
      </c>
      <c r="R73" s="113" t="e" cm="1">
        <f t="array" ref="R73">SUMPRODUCT('Cost and Efficiency Data (R)'!$B$82:$U$89*('Cost and Efficiency Data (R)'!$A$82:$A$89=Pathways!R11)*(Pathways!R19='Cost and Efficiency Data (R)'!$B$81:$U$81)*('Cost and Efficiency Data (R)'!$B$80:$U$80=Pathways!R13))</f>
        <v>#VALUE!</v>
      </c>
      <c r="T73" s="113" t="e" cm="1">
        <f t="array" ref="T73">SUMPRODUCT('Cost and Efficiency Data (R)'!$B$82:$U$89*('Cost and Efficiency Data (R)'!$A$82:$A$89=Pathways!T11)*(Pathways!T19='Cost and Efficiency Data (R)'!$B$81:$U$81)*('Cost and Efficiency Data (R)'!$B$80:$U$80=Pathways!T13))</f>
        <v>#VALUE!</v>
      </c>
      <c r="U73" s="113" t="e" cm="1">
        <f t="array" ref="U73">SUMPRODUCT('Cost and Efficiency Data (R)'!$B$82:$U$89*('Cost and Efficiency Data (R)'!$A$82:$A$89=Pathways!U11)*(Pathways!U19='Cost and Efficiency Data (R)'!$B$81:$U$81)*('Cost and Efficiency Data (R)'!$B$80:$U$80=Pathways!U13))</f>
        <v>#VALUE!</v>
      </c>
      <c r="V73" s="113" t="e" cm="1">
        <f t="array" ref="V73">SUMPRODUCT('Cost and Efficiency Data (R)'!$B$82:$U$89*('Cost and Efficiency Data (R)'!$A$82:$A$89=Pathways!V11)*(Pathways!V19='Cost and Efficiency Data (R)'!$B$81:$U$81)*('Cost and Efficiency Data (R)'!$B$80:$U$80=Pathways!V13))</f>
        <v>#VALUE!</v>
      </c>
      <c r="W73" s="113" t="e" cm="1">
        <f t="array" ref="W73">SUMPRODUCT('Cost and Efficiency Data (R)'!$B$82:$U$89*('Cost and Efficiency Data (R)'!$A$82:$A$89=Pathways!W11)*(Pathways!W19='Cost and Efficiency Data (R)'!$B$81:$U$81)*('Cost and Efficiency Data (R)'!$B$80:$U$80=Pathways!W13))</f>
        <v>#VALUE!</v>
      </c>
      <c r="X73" s="113" t="e" cm="1">
        <f t="array" ref="X73">SUMPRODUCT('Cost and Efficiency Data (R)'!$B$82:$U$89*('Cost and Efficiency Data (R)'!$A$82:$A$89=Pathways!X11)*(Pathways!X19='Cost and Efficiency Data (R)'!$B$81:$U$81)*('Cost and Efficiency Data (R)'!$B$80:$U$80=Pathways!X13))</f>
        <v>#VALUE!</v>
      </c>
      <c r="Y73" s="113" t="e" cm="1">
        <f t="array" ref="Y73">SUMPRODUCT('Cost and Efficiency Data (R)'!$B$82:$U$89*('Cost and Efficiency Data (R)'!$A$82:$A$89=Pathways!Y11)*(Pathways!Y19='Cost and Efficiency Data (R)'!$B$81:$U$81)*('Cost and Efficiency Data (R)'!$B$80:$U$80=Pathways!Y13))</f>
        <v>#VALUE!</v>
      </c>
      <c r="Z73" s="113" t="e" cm="1">
        <f t="array" ref="Z73">SUMPRODUCT('Cost and Efficiency Data (R)'!$B$82:$U$89*('Cost and Efficiency Data (R)'!$A$82:$A$89=Pathways!Z11)*(Pathways!Z19='Cost and Efficiency Data (R)'!$B$81:$U$81)*('Cost and Efficiency Data (R)'!$B$80:$U$80=Pathways!Z13))</f>
        <v>#VALUE!</v>
      </c>
      <c r="AA73" s="16"/>
      <c r="AB73" s="195" t="s">
        <v>105</v>
      </c>
    </row>
    <row r="74" spans="2:28" ht="14" x14ac:dyDescent="0.25">
      <c r="B74" s="8"/>
      <c r="C74" s="159" t="s">
        <v>106</v>
      </c>
      <c r="D74" s="113">
        <f>'Cost and Efficiency Data (R)'!$E$75</f>
        <v>0.67</v>
      </c>
      <c r="E74" s="113">
        <f>'Cost and Efficiency Data (R)'!$E$75</f>
        <v>0.67</v>
      </c>
      <c r="F74" s="113">
        <f>'Cost and Efficiency Data (R)'!$E$75</f>
        <v>0.67</v>
      </c>
      <c r="G74" s="113">
        <f>'Cost and Efficiency Data (R)'!$E$75</f>
        <v>0.67</v>
      </c>
      <c r="H74" s="113">
        <f>'Cost and Efficiency Data (R)'!$E$75</f>
        <v>0.67</v>
      </c>
      <c r="I74" s="113">
        <f>'Cost and Efficiency Data (R)'!$E$75</f>
        <v>0.67</v>
      </c>
      <c r="J74" s="113">
        <f>'Cost and Efficiency Data (R)'!$E$75</f>
        <v>0.67</v>
      </c>
      <c r="K74" s="16"/>
      <c r="L74" s="113">
        <f>'Cost and Efficiency Data (R)'!$E$75</f>
        <v>0.67</v>
      </c>
      <c r="M74" s="113">
        <f>'Cost and Efficiency Data (R)'!$E$75</f>
        <v>0.67</v>
      </c>
      <c r="N74" s="113">
        <f>'Cost and Efficiency Data (R)'!$E$75</f>
        <v>0.67</v>
      </c>
      <c r="O74" s="113">
        <f>'Cost and Efficiency Data (R)'!$E$75</f>
        <v>0.67</v>
      </c>
      <c r="P74" s="113">
        <f>'Cost and Efficiency Data (R)'!$E$75</f>
        <v>0.67</v>
      </c>
      <c r="Q74" s="113">
        <f>'Cost and Efficiency Data (R)'!$E$75</f>
        <v>0.67</v>
      </c>
      <c r="R74" s="113">
        <f>'Cost and Efficiency Data (R)'!$E$75</f>
        <v>0.67</v>
      </c>
      <c r="T74" s="113">
        <f>'Cost and Efficiency Data (R)'!$E$75</f>
        <v>0.67</v>
      </c>
      <c r="U74" s="113">
        <f>'Cost and Efficiency Data (R)'!$E$75</f>
        <v>0.67</v>
      </c>
      <c r="V74" s="113">
        <f>'Cost and Efficiency Data (R)'!$E$75</f>
        <v>0.67</v>
      </c>
      <c r="W74" s="113">
        <f>'Cost and Efficiency Data (R)'!$E$75</f>
        <v>0.67</v>
      </c>
      <c r="X74" s="113">
        <f>'Cost and Efficiency Data (R)'!$E$75</f>
        <v>0.67</v>
      </c>
      <c r="Y74" s="113">
        <f>'Cost and Efficiency Data (R)'!$E$75</f>
        <v>0.67</v>
      </c>
      <c r="Z74" s="113">
        <f>'Cost and Efficiency Data (R)'!$E$75</f>
        <v>0.67</v>
      </c>
      <c r="AA74" s="16"/>
      <c r="AB74" s="195" t="s">
        <v>107</v>
      </c>
    </row>
    <row r="75" spans="2:28" ht="14" x14ac:dyDescent="0.25">
      <c r="B75" s="8"/>
      <c r="C75" s="159" t="s">
        <v>108</v>
      </c>
      <c r="D75" s="113">
        <f>IF(D12=Dropdowns!$E$2,0,IF(D12=Dropdowns!$E$3,IF(D19=Dropdowns!$B$3,'Cost and Efficiency Data (R)'!$C$75,'Cost and Efficiency Data (R)'!$S$75),IF(D12=Dropdowns!$E$4,IF(D19=Dropdowns!$B$3,'Cost and Efficiency Data (R)'!$T$75,'Cost and Efficiency Data (R)'!$D$75),"n/a")))</f>
        <v>0</v>
      </c>
      <c r="E75" s="113">
        <f>IF(E12=Dropdowns!$E$2,0,IF(E12=Dropdowns!$E$3,IF(E19=Dropdowns!$B$3,'Cost and Efficiency Data (R)'!$C$75,'Cost and Efficiency Data (R)'!$S$75),IF(E12=Dropdowns!$E$4,IF(E19=Dropdowns!$B$3,'Cost and Efficiency Data (R)'!$T$75,'Cost and Efficiency Data (R)'!$D$75),"n/a")))</f>
        <v>0</v>
      </c>
      <c r="F75" s="113">
        <f>IF(F12=Dropdowns!$E$2,0,IF(F12=Dropdowns!$E$3,IF(F19=Dropdowns!$B$3,'Cost and Efficiency Data (R)'!$C$75,'Cost and Efficiency Data (R)'!$S$75),IF(F12=Dropdowns!$E$4,IF(F19=Dropdowns!$B$3,'Cost and Efficiency Data (R)'!$T$75,'Cost and Efficiency Data (R)'!$D$75),"n/a")))</f>
        <v>0</v>
      </c>
      <c r="G75" s="113">
        <f>IF(G12=Dropdowns!$E$2,0,IF(G12=Dropdowns!$E$3,IF(G19=Dropdowns!$B$3,'Cost and Efficiency Data (R)'!$C$75,'Cost and Efficiency Data (R)'!$S$75),IF(G12=Dropdowns!$E$4,IF(G19=Dropdowns!$B$3,'Cost and Efficiency Data (R)'!$T$75,'Cost and Efficiency Data (R)'!$D$75),"n/a")))</f>
        <v>0</v>
      </c>
      <c r="H75" s="113">
        <f>IF(H12=Dropdowns!$E$2,0,IF(H12=Dropdowns!$E$3,IF(H19=Dropdowns!$B$3,'Cost and Efficiency Data (R)'!$C$75,'Cost and Efficiency Data (R)'!$S$75),IF(H12=Dropdowns!$E$4,IF(H19=Dropdowns!$B$3,'Cost and Efficiency Data (R)'!$T$75,'Cost and Efficiency Data (R)'!$D$75),"n/a")))</f>
        <v>0</v>
      </c>
      <c r="I75" s="113">
        <f>IF(I12=Dropdowns!$E$2,0,IF(I12=Dropdowns!$E$3,IF(I19=Dropdowns!$B$3,'Cost and Efficiency Data (R)'!$C$75,'Cost and Efficiency Data (R)'!$S$75),IF(I12=Dropdowns!$E$4,IF(I19=Dropdowns!$B$3,'Cost and Efficiency Data (R)'!$T$75,'Cost and Efficiency Data (R)'!$D$75),"n/a")))</f>
        <v>0</v>
      </c>
      <c r="J75" s="113">
        <f>IF(J12=Dropdowns!$E$2,0,IF(J12=Dropdowns!$E$3,IF(J19=Dropdowns!$B$3,'Cost and Efficiency Data (R)'!$C$75,'Cost and Efficiency Data (R)'!$S$75),IF(J12=Dropdowns!$E$4,IF(J19=Dropdowns!$B$3,'Cost and Efficiency Data (R)'!$T$75,'Cost and Efficiency Data (R)'!$D$75),"n/a")))</f>
        <v>0</v>
      </c>
      <c r="K75" s="16"/>
      <c r="L75" s="204">
        <f>IF(L12=Dropdowns!$E$2,0,IF(L12=Dropdowns!$E$3,IF(L19=Dropdowns!$B$3,'Cost and Efficiency Data (R)'!$C$75,'Cost and Efficiency Data (R)'!$S$75),IF(L12=Dropdowns!$E$4,IF(L19=Dropdowns!$B$3,'Cost and Efficiency Data (R)'!$T$75,'Cost and Efficiency Data (R)'!$D$75),"n/a")))</f>
        <v>1</v>
      </c>
      <c r="M75" s="204">
        <f>IF(M12=Dropdowns!$E$2,0,IF(M12=Dropdowns!$E$3,IF(M19=Dropdowns!$B$3,'Cost and Efficiency Data (R)'!$C$75,'Cost and Efficiency Data (R)'!$S$75),IF(M12=Dropdowns!$E$4,IF(M19=Dropdowns!$B$3,'Cost and Efficiency Data (R)'!$T$75,'Cost and Efficiency Data (R)'!$D$75),"n/a")))</f>
        <v>1</v>
      </c>
      <c r="N75" s="204">
        <f>IF(N12=Dropdowns!$E$2,0,IF(N12=Dropdowns!$E$3,IF(N19=Dropdowns!$B$3,'Cost and Efficiency Data (R)'!$C$75,'Cost and Efficiency Data (R)'!$S$75),IF(N12=Dropdowns!$E$4,IF(N19=Dropdowns!$B$3,'Cost and Efficiency Data (R)'!$T$75,'Cost and Efficiency Data (R)'!$D$75),"n/a")))</f>
        <v>1</v>
      </c>
      <c r="O75" s="204">
        <f>IF(O12=Dropdowns!$E$2,0,IF(O12=Dropdowns!$E$3,IF(O19=Dropdowns!$B$3,'Cost and Efficiency Data (R)'!$C$75,'Cost and Efficiency Data (R)'!$S$75),IF(O12=Dropdowns!$E$4,IF(O19=Dropdowns!$B$3,'Cost and Efficiency Data (R)'!$T$75,'Cost and Efficiency Data (R)'!$D$75),"n/a")))</f>
        <v>1</v>
      </c>
      <c r="P75" s="204">
        <f>IF(P12=Dropdowns!$E$2,0,IF(P12=Dropdowns!$E$3,IF(P19=Dropdowns!$B$3,'Cost and Efficiency Data (R)'!$C$75,'Cost and Efficiency Data (R)'!$S$75),IF(P12=Dropdowns!$E$4,IF(P19=Dropdowns!$B$3,'Cost and Efficiency Data (R)'!$T$75,'Cost and Efficiency Data (R)'!$D$75),"n/a")))</f>
        <v>1</v>
      </c>
      <c r="Q75" s="204">
        <f>IF(Q12=Dropdowns!$E$2,0,IF(Q12=Dropdowns!$E$3,IF(Q19=Dropdowns!$B$3,'Cost and Efficiency Data (R)'!$C$75,'Cost and Efficiency Data (R)'!$S$75),IF(Q12=Dropdowns!$E$4,IF(Q19=Dropdowns!$B$3,'Cost and Efficiency Data (R)'!$T$75,'Cost and Efficiency Data (R)'!$D$75),"n/a")))</f>
        <v>1</v>
      </c>
      <c r="R75" s="204">
        <f>IF(R12=Dropdowns!$E$2,0,IF(R12=Dropdowns!$E$3,IF(R19=Dropdowns!$B$3,'Cost and Efficiency Data (R)'!$C$75,'Cost and Efficiency Data (R)'!$S$75),IF(R12=Dropdowns!$E$4,IF(R19=Dropdowns!$B$3,'Cost and Efficiency Data (R)'!$T$75,'Cost and Efficiency Data (R)'!$D$75),"n/a")))</f>
        <v>1</v>
      </c>
      <c r="T75" s="113">
        <f>IF(T12=Dropdowns!$E$2,0,IF(T12=Dropdowns!$E$3,IF(T19=Dropdowns!$B$3,'Cost and Efficiency Data (R)'!$C$75,'Cost and Efficiency Data (R)'!$S$75),IF(T12=Dropdowns!$E$4,IF(T19=Dropdowns!$B$3,'Cost and Efficiency Data (R)'!$T$75,'Cost and Efficiency Data (R)'!$D$75),"n/a")))</f>
        <v>1</v>
      </c>
      <c r="U75" s="113">
        <f>IF(U12=Dropdowns!$E$2,0,IF(U12=Dropdowns!$E$3,IF(U19=Dropdowns!$B$3,'Cost and Efficiency Data (R)'!$C$75,'Cost and Efficiency Data (R)'!$S$75),IF(U12=Dropdowns!$E$4,IF(U19=Dropdowns!$B$3,'Cost and Efficiency Data (R)'!$T$75,'Cost and Efficiency Data (R)'!$D$75),"n/a")))</f>
        <v>1</v>
      </c>
      <c r="V75" s="113">
        <f>IF(V12=Dropdowns!$E$2,0,IF(V12=Dropdowns!$E$3,IF(V19=Dropdowns!$B$3,'Cost and Efficiency Data (R)'!$C$75,'Cost and Efficiency Data (R)'!$S$75),IF(V12=Dropdowns!$E$4,IF(V19=Dropdowns!$B$3,'Cost and Efficiency Data (R)'!$T$75,'Cost and Efficiency Data (R)'!$D$75),"n/a")))</f>
        <v>1</v>
      </c>
      <c r="W75" s="113">
        <f>IF(W12=Dropdowns!$E$2,0,IF(W12=Dropdowns!$E$3,IF(W19=Dropdowns!$B$3,'Cost and Efficiency Data (R)'!$C$75,'Cost and Efficiency Data (R)'!$S$75),IF(W12=Dropdowns!$E$4,IF(W19=Dropdowns!$B$3,'Cost and Efficiency Data (R)'!$T$75,'Cost and Efficiency Data (R)'!$D$75),"n/a")))</f>
        <v>1</v>
      </c>
      <c r="X75" s="113">
        <f>IF(X12=Dropdowns!$E$2,0,IF(X12=Dropdowns!$E$3,IF(X19=Dropdowns!$B$3,'Cost and Efficiency Data (R)'!$C$75,'Cost and Efficiency Data (R)'!$S$75),IF(X12=Dropdowns!$E$4,IF(X19=Dropdowns!$B$3,'Cost and Efficiency Data (R)'!$T$75,'Cost and Efficiency Data (R)'!$D$75),"n/a")))</f>
        <v>1</v>
      </c>
      <c r="Y75" s="113">
        <f>IF(Y12=Dropdowns!$E$2,0,IF(Y12=Dropdowns!$E$3,IF(Y19=Dropdowns!$B$3,'Cost and Efficiency Data (R)'!$C$75,'Cost and Efficiency Data (R)'!$S$75),IF(Y12=Dropdowns!$E$4,IF(Y19=Dropdowns!$B$3,'Cost and Efficiency Data (R)'!$T$75,'Cost and Efficiency Data (R)'!$D$75),"n/a")))</f>
        <v>1</v>
      </c>
      <c r="Z75" s="113">
        <f>IF(Z12=Dropdowns!$E$2,0,IF(Z12=Dropdowns!$E$3,IF(Z19=Dropdowns!$B$3,'Cost and Efficiency Data (R)'!$C$75,'Cost and Efficiency Data (R)'!$S$75),IF(Z12=Dropdowns!$E$4,IF(Z19=Dropdowns!$B$3,'Cost and Efficiency Data (R)'!$T$75,'Cost and Efficiency Data (R)'!$D$75),"n/a")))</f>
        <v>1</v>
      </c>
      <c r="AA75" s="16"/>
      <c r="AB75" s="195" t="s">
        <v>109</v>
      </c>
    </row>
    <row r="76" spans="2:28" ht="14" x14ac:dyDescent="0.25">
      <c r="B76" s="8"/>
      <c r="C76" s="159" t="s">
        <v>110</v>
      </c>
      <c r="D76" s="113">
        <f>IF(D12=Dropdowns!$E$2,0,IF(D12=Dropdowns!$E$3,IF(D19=Dropdowns!$B$3,'Cost and Efficiency Data (R)'!$A$75,'Cost and Efficiency Data (R)'!$Q$75),IF(D12=Dropdowns!$E$4,IF(D19=Dropdowns!$B$3,'Cost and Efficiency Data (R)'!$R$75,'Cost and Efficiency Data (R)'!$B$75),"n/a")))</f>
        <v>0</v>
      </c>
      <c r="E76" s="113">
        <f>IF(E12=Dropdowns!$E$2,0,IF(E12=Dropdowns!$E$3,IF(E19=Dropdowns!$B$3,'Cost and Efficiency Data (R)'!$A$75,'Cost and Efficiency Data (R)'!$Q$75),IF(E12=Dropdowns!$E$4,IF(E19=Dropdowns!$B$3,'Cost and Efficiency Data (R)'!$R$75,'Cost and Efficiency Data (R)'!$B$75),"n/a")))</f>
        <v>0</v>
      </c>
      <c r="F76" s="113">
        <f>IF(F12=Dropdowns!$E$2,0,IF(F12=Dropdowns!$E$3,IF(F19=Dropdowns!$B$3,'Cost and Efficiency Data (R)'!$A$75,'Cost and Efficiency Data (R)'!$Q$75),IF(F12=Dropdowns!$E$4,IF(F19=Dropdowns!$B$3,'Cost and Efficiency Data (R)'!$R$75,'Cost and Efficiency Data (R)'!$B$75),"n/a")))</f>
        <v>0</v>
      </c>
      <c r="G76" s="113">
        <f>IF(G12=Dropdowns!$E$2,0,IF(G12=Dropdowns!$E$3,IF(G19=Dropdowns!$B$3,'Cost and Efficiency Data (R)'!$A$75,'Cost and Efficiency Data (R)'!$Q$75),IF(G12=Dropdowns!$E$4,IF(G19=Dropdowns!$B$3,'Cost and Efficiency Data (R)'!$R$75,'Cost and Efficiency Data (R)'!$B$75),"n/a")))</f>
        <v>0</v>
      </c>
      <c r="H76" s="113">
        <f>IF(H12=Dropdowns!$E$2,0,IF(H12=Dropdowns!$E$3,IF(H19=Dropdowns!$B$3,'Cost and Efficiency Data (R)'!$A$75,'Cost and Efficiency Data (R)'!$Q$75),IF(H12=Dropdowns!$E$4,IF(H19=Dropdowns!$B$3,'Cost and Efficiency Data (R)'!$R$75,'Cost and Efficiency Data (R)'!$B$75),"n/a")))</f>
        <v>0</v>
      </c>
      <c r="I76" s="113">
        <f>IF(I12=Dropdowns!$E$2,0,IF(I12=Dropdowns!$E$3,IF(I19=Dropdowns!$B$3,'Cost and Efficiency Data (R)'!$A$75,'Cost and Efficiency Data (R)'!$Q$75),IF(I12=Dropdowns!$E$4,IF(I19=Dropdowns!$B$3,'Cost and Efficiency Data (R)'!$R$75,'Cost and Efficiency Data (R)'!$B$75),"n/a")))</f>
        <v>0</v>
      </c>
      <c r="J76" s="113">
        <f>IF(J12=Dropdowns!$E$2,0,IF(J12=Dropdowns!$E$3,IF(J19=Dropdowns!$B$3,'Cost and Efficiency Data (R)'!$A$75,'Cost and Efficiency Data (R)'!$Q$75),IF(J12=Dropdowns!$E$4,IF(J19=Dropdowns!$B$3,'Cost and Efficiency Data (R)'!$R$75,'Cost and Efficiency Data (R)'!$B$75),"n/a")))</f>
        <v>0</v>
      </c>
      <c r="K76" s="16"/>
      <c r="L76" s="204">
        <f>IF(L12=Dropdowns!$E$2,0,IF(L12=Dropdowns!$E$3,IF(L19=Dropdowns!$B$3,'Cost and Efficiency Data (R)'!$A$75,'Cost and Efficiency Data (R)'!$Q$75),IF(L12=Dropdowns!$E$4,IF(L19=Dropdowns!$B$3,'Cost and Efficiency Data (R)'!$R$75,'Cost and Efficiency Data (R)'!$B$75),"n/a")))</f>
        <v>0.79</v>
      </c>
      <c r="M76" s="204">
        <f>IF(M12=Dropdowns!$E$2,0,IF(M12=Dropdowns!$E$3,IF(M19=Dropdowns!$B$3,'Cost and Efficiency Data (R)'!$A$75,'Cost and Efficiency Data (R)'!$Q$75),IF(M12=Dropdowns!$E$4,IF(M19=Dropdowns!$B$3,'Cost and Efficiency Data (R)'!$R$75,'Cost and Efficiency Data (R)'!$B$75),"n/a")))</f>
        <v>0.79</v>
      </c>
      <c r="N76" s="204">
        <f>IF(N12=Dropdowns!$E$2,0,IF(N12=Dropdowns!$E$3,IF(N19=Dropdowns!$B$3,'Cost and Efficiency Data (R)'!$A$75,'Cost and Efficiency Data (R)'!$Q$75),IF(N12=Dropdowns!$E$4,IF(N19=Dropdowns!$B$3,'Cost and Efficiency Data (R)'!$R$75,'Cost and Efficiency Data (R)'!$B$75),"n/a")))</f>
        <v>0.79</v>
      </c>
      <c r="O76" s="204">
        <f>IF(O12=Dropdowns!$E$2,0,IF(O12=Dropdowns!$E$3,IF(O19=Dropdowns!$B$3,'Cost and Efficiency Data (R)'!$A$75,'Cost and Efficiency Data (R)'!$Q$75),IF(O12=Dropdowns!$E$4,IF(O19=Dropdowns!$B$3,'Cost and Efficiency Data (R)'!$R$75,'Cost and Efficiency Data (R)'!$B$75),"n/a")))</f>
        <v>0.79</v>
      </c>
      <c r="P76" s="204">
        <f>IF(P12=Dropdowns!$E$2,0,IF(P12=Dropdowns!$E$3,IF(P19=Dropdowns!$B$3,'Cost and Efficiency Data (R)'!$A$75,'Cost and Efficiency Data (R)'!$Q$75),IF(P12=Dropdowns!$E$4,IF(P19=Dropdowns!$B$3,'Cost and Efficiency Data (R)'!$R$75,'Cost and Efficiency Data (R)'!$B$75),"n/a")))</f>
        <v>0.79</v>
      </c>
      <c r="Q76" s="204">
        <f>IF(Q12=Dropdowns!$E$2,0,IF(Q12=Dropdowns!$E$3,IF(Q19=Dropdowns!$B$3,'Cost and Efficiency Data (R)'!$A$75,'Cost and Efficiency Data (R)'!$Q$75),IF(Q12=Dropdowns!$E$4,IF(Q19=Dropdowns!$B$3,'Cost and Efficiency Data (R)'!$R$75,'Cost and Efficiency Data (R)'!$B$75),"n/a")))</f>
        <v>0.79</v>
      </c>
      <c r="R76" s="204">
        <f>IF(R12=Dropdowns!$E$2,0,IF(R12=Dropdowns!$E$3,IF(R19=Dropdowns!$B$3,'Cost and Efficiency Data (R)'!$A$75,'Cost and Efficiency Data (R)'!$Q$75),IF(R12=Dropdowns!$E$4,IF(R19=Dropdowns!$B$3,'Cost and Efficiency Data (R)'!$R$75,'Cost and Efficiency Data (R)'!$B$75),"n/a")))</f>
        <v>0.79</v>
      </c>
      <c r="T76" s="113">
        <f>IF(T12=Dropdowns!$E$2,0,IF(T12=Dropdowns!$E$3,IF(T19=Dropdowns!$B$3,'Cost and Efficiency Data (R)'!$A$75,'Cost and Efficiency Data (R)'!$Q$75),IF(T12=Dropdowns!$E$4,IF(T19=Dropdowns!$B$3,'Cost and Efficiency Data (R)'!$R$75,'Cost and Efficiency Data (R)'!$B$75),"n/a")))</f>
        <v>0.79</v>
      </c>
      <c r="U76" s="113">
        <f>IF(U12=Dropdowns!$E$2,0,IF(U12=Dropdowns!$E$3,IF(U19=Dropdowns!$B$3,'Cost and Efficiency Data (R)'!$A$75,'Cost and Efficiency Data (R)'!$Q$75),IF(U12=Dropdowns!$E$4,IF(U19=Dropdowns!$B$3,'Cost and Efficiency Data (R)'!$R$75,'Cost and Efficiency Data (R)'!$B$75),"n/a")))</f>
        <v>0.79</v>
      </c>
      <c r="V76" s="113">
        <f>IF(V12=Dropdowns!$E$2,0,IF(V12=Dropdowns!$E$3,IF(V19=Dropdowns!$B$3,'Cost and Efficiency Data (R)'!$A$75,'Cost and Efficiency Data (R)'!$Q$75),IF(V12=Dropdowns!$E$4,IF(V19=Dropdowns!$B$3,'Cost and Efficiency Data (R)'!$R$75,'Cost and Efficiency Data (R)'!$B$75),"n/a")))</f>
        <v>0.79</v>
      </c>
      <c r="W76" s="113">
        <f>IF(W12=Dropdowns!$E$2,0,IF(W12=Dropdowns!$E$3,IF(W19=Dropdowns!$B$3,'Cost and Efficiency Data (R)'!$A$75,'Cost and Efficiency Data (R)'!$Q$75),IF(W12=Dropdowns!$E$4,IF(W19=Dropdowns!$B$3,'Cost and Efficiency Data (R)'!$R$75,'Cost and Efficiency Data (R)'!$B$75),"n/a")))</f>
        <v>0.79</v>
      </c>
      <c r="X76" s="113">
        <f>IF(X12=Dropdowns!$E$2,0,IF(X12=Dropdowns!$E$3,IF(X19=Dropdowns!$B$3,'Cost and Efficiency Data (R)'!$A$75,'Cost and Efficiency Data (R)'!$Q$75),IF(X12=Dropdowns!$E$4,IF(X19=Dropdowns!$B$3,'Cost and Efficiency Data (R)'!$R$75,'Cost and Efficiency Data (R)'!$B$75),"n/a")))</f>
        <v>0.79</v>
      </c>
      <c r="Y76" s="113">
        <f>IF(Y12=Dropdowns!$E$2,0,IF(Y12=Dropdowns!$E$3,IF(Y19=Dropdowns!$B$3,'Cost and Efficiency Data (R)'!$A$75,'Cost and Efficiency Data (R)'!$Q$75),IF(Y12=Dropdowns!$E$4,IF(Y19=Dropdowns!$B$3,'Cost and Efficiency Data (R)'!$R$75,'Cost and Efficiency Data (R)'!$B$75),"n/a")))</f>
        <v>0.79</v>
      </c>
      <c r="Z76" s="113">
        <f>IF(Z12=Dropdowns!$E$2,0,IF(Z12=Dropdowns!$E$3,IF(Z19=Dropdowns!$B$3,'Cost and Efficiency Data (R)'!$A$75,'Cost and Efficiency Data (R)'!$Q$75),IF(Z12=Dropdowns!$E$4,IF(Z19=Dropdowns!$B$3,'Cost and Efficiency Data (R)'!$R$75,'Cost and Efficiency Data (R)'!$B$75),"n/a")))</f>
        <v>0.79</v>
      </c>
      <c r="AA76" s="16"/>
      <c r="AB76" s="195" t="s">
        <v>109</v>
      </c>
    </row>
    <row r="77" spans="2:28" ht="14" outlineLevel="1" x14ac:dyDescent="0.25">
      <c r="B77" s="8"/>
      <c r="C77" s="162" t="s">
        <v>111</v>
      </c>
      <c r="D77" s="122">
        <f t="shared" ref="D77" si="24">D20*1000</f>
        <v>3000000</v>
      </c>
      <c r="E77" s="122">
        <f t="shared" ref="E77:Z77" si="25">E20*1000</f>
        <v>3000000</v>
      </c>
      <c r="F77" s="122">
        <f t="shared" si="25"/>
        <v>3000000</v>
      </c>
      <c r="G77" s="122">
        <f t="shared" si="25"/>
        <v>3000000</v>
      </c>
      <c r="H77" s="122">
        <f t="shared" si="25"/>
        <v>3000000</v>
      </c>
      <c r="I77" s="122">
        <f t="shared" si="25"/>
        <v>3000000</v>
      </c>
      <c r="J77" s="122">
        <f t="shared" si="25"/>
        <v>3000000</v>
      </c>
      <c r="K77" s="16"/>
      <c r="L77" s="122">
        <f t="shared" si="25"/>
        <v>3000000</v>
      </c>
      <c r="M77" s="122">
        <f t="shared" si="25"/>
        <v>3000000</v>
      </c>
      <c r="N77" s="122">
        <f t="shared" si="25"/>
        <v>3000000</v>
      </c>
      <c r="O77" s="122">
        <f t="shared" si="25"/>
        <v>3000000</v>
      </c>
      <c r="P77" s="122">
        <f t="shared" si="25"/>
        <v>3000000</v>
      </c>
      <c r="Q77" s="122">
        <f t="shared" si="25"/>
        <v>3000000</v>
      </c>
      <c r="R77" s="122">
        <f t="shared" si="25"/>
        <v>3000000</v>
      </c>
      <c r="T77" s="122">
        <f t="shared" si="25"/>
        <v>3000000</v>
      </c>
      <c r="U77" s="122">
        <f t="shared" si="25"/>
        <v>3000000</v>
      </c>
      <c r="V77" s="122">
        <f t="shared" si="25"/>
        <v>3000000</v>
      </c>
      <c r="W77" s="122">
        <f t="shared" si="25"/>
        <v>3000000</v>
      </c>
      <c r="X77" s="122">
        <f t="shared" si="25"/>
        <v>3000000</v>
      </c>
      <c r="Y77" s="122">
        <f t="shared" si="25"/>
        <v>3000000</v>
      </c>
      <c r="Z77" s="122">
        <f t="shared" si="25"/>
        <v>3000000</v>
      </c>
      <c r="AA77" s="16"/>
      <c r="AB77" s="195" t="s">
        <v>112</v>
      </c>
    </row>
    <row r="78" spans="2:28" ht="14" outlineLevel="1" x14ac:dyDescent="0.25">
      <c r="B78" s="8"/>
      <c r="C78" s="162" t="s">
        <v>113</v>
      </c>
      <c r="D78" s="122" t="e">
        <f t="shared" ref="D78" si="26">D77*D73</f>
        <v>#VALUE!</v>
      </c>
      <c r="E78" s="122" t="e">
        <f t="shared" ref="E78:Z78" si="27">E77*E73</f>
        <v>#VALUE!</v>
      </c>
      <c r="F78" s="122" t="e">
        <f t="shared" si="27"/>
        <v>#VALUE!</v>
      </c>
      <c r="G78" s="122" t="e">
        <f t="shared" si="27"/>
        <v>#VALUE!</v>
      </c>
      <c r="H78" s="122" t="e">
        <f t="shared" si="27"/>
        <v>#VALUE!</v>
      </c>
      <c r="I78" s="122" t="e">
        <f t="shared" si="27"/>
        <v>#VALUE!</v>
      </c>
      <c r="J78" s="122" t="e">
        <f t="shared" si="27"/>
        <v>#VALUE!</v>
      </c>
      <c r="K78" s="16"/>
      <c r="L78" s="122" t="e">
        <f t="shared" si="27"/>
        <v>#VALUE!</v>
      </c>
      <c r="M78" s="122" t="e">
        <f t="shared" si="27"/>
        <v>#VALUE!</v>
      </c>
      <c r="N78" s="122" t="e">
        <f t="shared" si="27"/>
        <v>#VALUE!</v>
      </c>
      <c r="O78" s="122" t="e">
        <f t="shared" si="27"/>
        <v>#VALUE!</v>
      </c>
      <c r="P78" s="122" t="e">
        <f t="shared" si="27"/>
        <v>#VALUE!</v>
      </c>
      <c r="Q78" s="122" t="e">
        <f t="shared" si="27"/>
        <v>#VALUE!</v>
      </c>
      <c r="R78" s="122" t="e">
        <f t="shared" si="27"/>
        <v>#VALUE!</v>
      </c>
      <c r="T78" s="122" t="e">
        <f t="shared" si="27"/>
        <v>#VALUE!</v>
      </c>
      <c r="U78" s="122" t="e">
        <f t="shared" si="27"/>
        <v>#VALUE!</v>
      </c>
      <c r="V78" s="122" t="e">
        <f t="shared" si="27"/>
        <v>#VALUE!</v>
      </c>
      <c r="W78" s="122" t="e">
        <f t="shared" si="27"/>
        <v>#VALUE!</v>
      </c>
      <c r="X78" s="122" t="e">
        <f t="shared" si="27"/>
        <v>#VALUE!</v>
      </c>
      <c r="Y78" s="122" t="e">
        <f t="shared" si="27"/>
        <v>#VALUE!</v>
      </c>
      <c r="Z78" s="122" t="e">
        <f t="shared" si="27"/>
        <v>#VALUE!</v>
      </c>
      <c r="AA78" s="16"/>
      <c r="AB78" s="196"/>
    </row>
    <row r="79" spans="2:28" ht="14" outlineLevel="1" x14ac:dyDescent="0.25">
      <c r="B79" s="8"/>
      <c r="C79" s="162" t="s">
        <v>114</v>
      </c>
      <c r="D79" s="123" t="e" cm="1">
        <f t="array" ref="D79">D77*SUMPRODUCT('Cost and Efficiency Data (R)'!$B$82:$V$89*('Cost and Efficiency Data (R)'!$B$81:$V$81=Pathways!D19)*('Cost and Efficiency Data (R)'!$B$80:$V$80=Pathways!D14)*('Cost and Efficiency Data (R)'!$A$82:$A$89=Pathways!D11))</f>
        <v>#VALUE!</v>
      </c>
      <c r="E79" s="123" t="e" cm="1">
        <f t="array" ref="E79">E77*SUMPRODUCT('Cost and Efficiency Data (R)'!$B$82:$V$89*('Cost and Efficiency Data (R)'!$B$81:$V$81=Pathways!E19)*('Cost and Efficiency Data (R)'!$B$80:$V$80=Pathways!E14)*('Cost and Efficiency Data (R)'!$A$82:$A$89=Pathways!E11))</f>
        <v>#VALUE!</v>
      </c>
      <c r="F79" s="123" t="e" cm="1">
        <f t="array" ref="F79">F77*SUMPRODUCT('Cost and Efficiency Data (R)'!$B$82:$V$89*('Cost and Efficiency Data (R)'!$B$81:$V$81=Pathways!F19)*('Cost and Efficiency Data (R)'!$B$80:$V$80=Pathways!F14)*('Cost and Efficiency Data (R)'!$A$82:$A$89=Pathways!F11))</f>
        <v>#VALUE!</v>
      </c>
      <c r="G79" s="123" t="e" cm="1">
        <f t="array" ref="G79">G77*SUMPRODUCT('Cost and Efficiency Data (R)'!$B$82:$V$89*('Cost and Efficiency Data (R)'!$B$81:$V$81=Pathways!G19)*('Cost and Efficiency Data (R)'!$B$80:$V$80=Pathways!G14)*('Cost and Efficiency Data (R)'!$A$82:$A$89=Pathways!G11))</f>
        <v>#VALUE!</v>
      </c>
      <c r="H79" s="123" t="e" cm="1">
        <f t="array" ref="H79">H77*SUMPRODUCT('Cost and Efficiency Data (R)'!$B$82:$V$89*('Cost and Efficiency Data (R)'!$B$81:$V$81=Pathways!H19)*('Cost and Efficiency Data (R)'!$B$80:$V$80=Pathways!H14)*('Cost and Efficiency Data (R)'!$A$82:$A$89=Pathways!H11))</f>
        <v>#VALUE!</v>
      </c>
      <c r="I79" s="123" t="e" cm="1">
        <f t="array" ref="I79">I77*SUMPRODUCT('Cost and Efficiency Data (R)'!$B$82:$V$89*('Cost and Efficiency Data (R)'!$B$81:$V$81=Pathways!I19)*('Cost and Efficiency Data (R)'!$B$80:$V$80=Pathways!I14)*('Cost and Efficiency Data (R)'!$A$82:$A$89=Pathways!I11))</f>
        <v>#VALUE!</v>
      </c>
      <c r="J79" s="123" t="e" cm="1">
        <f t="array" ref="J79">J77*SUMPRODUCT('Cost and Efficiency Data (R)'!$B$82:$V$89*('Cost and Efficiency Data (R)'!$B$81:$V$81=Pathways!J19)*('Cost and Efficiency Data (R)'!$B$80:$V$80=Pathways!J14)*('Cost and Efficiency Data (R)'!$A$82:$A$89=Pathways!J11))</f>
        <v>#VALUE!</v>
      </c>
      <c r="K79" s="16"/>
      <c r="L79" s="123" t="e" cm="1">
        <f t="array" ref="L79">L77*SUMPRODUCT('Cost and Efficiency Data (R)'!$B$82:$V$89*('Cost and Efficiency Data (R)'!$B$81:$V$81=Pathways!L19)*('Cost and Efficiency Data (R)'!$B$80:$V$80=Pathways!L14)*('Cost and Efficiency Data (R)'!$A$82:$A$89=Pathways!L11))</f>
        <v>#VALUE!</v>
      </c>
      <c r="M79" s="123" t="e" cm="1">
        <f t="array" ref="M79">M77*SUMPRODUCT('Cost and Efficiency Data (R)'!$B$82:$V$89*('Cost and Efficiency Data (R)'!$B$81:$V$81=Pathways!M19)*('Cost and Efficiency Data (R)'!$B$80:$V$80=Pathways!M14)*('Cost and Efficiency Data (R)'!$A$82:$A$89=Pathways!M11))</f>
        <v>#VALUE!</v>
      </c>
      <c r="N79" s="123" t="e" cm="1">
        <f t="array" ref="N79">N77*SUMPRODUCT('Cost and Efficiency Data (R)'!$B$82:$V$89*('Cost and Efficiency Data (R)'!$B$81:$V$81=Pathways!N19)*('Cost and Efficiency Data (R)'!$B$80:$V$80=Pathways!N14)*('Cost and Efficiency Data (R)'!$A$82:$A$89=Pathways!N11))</f>
        <v>#VALUE!</v>
      </c>
      <c r="O79" s="123" t="e" cm="1">
        <f t="array" ref="O79">O77*SUMPRODUCT('Cost and Efficiency Data (R)'!$B$82:$V$89*('Cost and Efficiency Data (R)'!$B$81:$V$81=Pathways!O19)*('Cost and Efficiency Data (R)'!$B$80:$V$80=Pathways!O14)*('Cost and Efficiency Data (R)'!$A$82:$A$89=Pathways!O11))</f>
        <v>#VALUE!</v>
      </c>
      <c r="P79" s="123" t="e" cm="1">
        <f t="array" ref="P79">P77*SUMPRODUCT('Cost and Efficiency Data (R)'!$B$82:$V$89*('Cost and Efficiency Data (R)'!$B$81:$V$81=Pathways!P19)*('Cost and Efficiency Data (R)'!$B$80:$V$80=Pathways!P14)*('Cost and Efficiency Data (R)'!$A$82:$A$89=Pathways!P11))</f>
        <v>#VALUE!</v>
      </c>
      <c r="Q79" s="123" t="e" cm="1">
        <f t="array" ref="Q79">Q77*SUMPRODUCT('Cost and Efficiency Data (R)'!$B$82:$V$89*('Cost and Efficiency Data (R)'!$B$81:$V$81=Pathways!Q19)*('Cost and Efficiency Data (R)'!$B$80:$V$80=Pathways!Q14)*('Cost and Efficiency Data (R)'!$A$82:$A$89=Pathways!Q11))</f>
        <v>#VALUE!</v>
      </c>
      <c r="R79" s="123" t="e" cm="1">
        <f t="array" ref="R79">R77*SUMPRODUCT('Cost and Efficiency Data (R)'!$B$82:$V$89*('Cost and Efficiency Data (R)'!$B$81:$V$81=Pathways!R19)*('Cost and Efficiency Data (R)'!$B$80:$V$80=Pathways!R14)*('Cost and Efficiency Data (R)'!$A$82:$A$89=Pathways!R11))</f>
        <v>#VALUE!</v>
      </c>
      <c r="T79" s="123" t="e" cm="1">
        <f t="array" ref="T79">T77*SUMPRODUCT('Cost and Efficiency Data (R)'!$B$82:$V$89*('Cost and Efficiency Data (R)'!$B$81:$V$81=Pathways!T19)*('Cost and Efficiency Data (R)'!$B$80:$V$80=Pathways!T14)*('Cost and Efficiency Data (R)'!$A$82:$A$89=Pathways!T11))</f>
        <v>#VALUE!</v>
      </c>
      <c r="U79" s="123" t="e" cm="1">
        <f t="array" ref="U79">U77*SUMPRODUCT('Cost and Efficiency Data (R)'!$B$82:$V$89*('Cost and Efficiency Data (R)'!$B$81:$V$81=Pathways!U19)*('Cost and Efficiency Data (R)'!$B$80:$V$80=Pathways!U14)*('Cost and Efficiency Data (R)'!$A$82:$A$89=Pathways!U11))</f>
        <v>#VALUE!</v>
      </c>
      <c r="V79" s="123" t="e" cm="1">
        <f t="array" ref="V79">V77*SUMPRODUCT('Cost and Efficiency Data (R)'!$B$82:$V$89*('Cost and Efficiency Data (R)'!$B$81:$V$81=Pathways!V19)*('Cost and Efficiency Data (R)'!$B$80:$V$80=Pathways!V14)*('Cost and Efficiency Data (R)'!$A$82:$A$89=Pathways!V11))</f>
        <v>#VALUE!</v>
      </c>
      <c r="W79" s="123" t="e" cm="1">
        <f t="array" ref="W79">W77*SUMPRODUCT('Cost and Efficiency Data (R)'!$B$82:$V$89*('Cost and Efficiency Data (R)'!$B$81:$V$81=Pathways!W19)*('Cost and Efficiency Data (R)'!$B$80:$V$80=Pathways!W14)*('Cost and Efficiency Data (R)'!$A$82:$A$89=Pathways!W11))</f>
        <v>#VALUE!</v>
      </c>
      <c r="X79" s="123" t="e" cm="1">
        <f t="array" ref="X79">X77*SUMPRODUCT('Cost and Efficiency Data (R)'!$B$82:$V$89*('Cost and Efficiency Data (R)'!$B$81:$V$81=Pathways!X19)*('Cost and Efficiency Data (R)'!$B$80:$V$80=Pathways!X14)*('Cost and Efficiency Data (R)'!$A$82:$A$89=Pathways!X11))</f>
        <v>#VALUE!</v>
      </c>
      <c r="Y79" s="123" t="e" cm="1">
        <f t="array" ref="Y79">Y77*SUMPRODUCT('Cost and Efficiency Data (R)'!$B$82:$V$89*('Cost and Efficiency Data (R)'!$B$81:$V$81=Pathways!Y19)*('Cost and Efficiency Data (R)'!$B$80:$V$80=Pathways!Y14)*('Cost and Efficiency Data (R)'!$A$82:$A$89=Pathways!Y11))</f>
        <v>#VALUE!</v>
      </c>
      <c r="Z79" s="123" t="e" cm="1">
        <f t="array" ref="Z79">Z77*SUMPRODUCT('Cost and Efficiency Data (R)'!$B$82:$V$89*('Cost and Efficiency Data (R)'!$B$81:$V$81=Pathways!Z19)*('Cost and Efficiency Data (R)'!$B$80:$V$80=Pathways!Z14)*('Cost and Efficiency Data (R)'!$A$82:$A$89=Pathways!Z11))</f>
        <v>#VALUE!</v>
      </c>
      <c r="AA79" s="16"/>
      <c r="AB79" s="196"/>
    </row>
    <row r="80" spans="2:28" ht="14" outlineLevel="1" x14ac:dyDescent="0.25">
      <c r="B80" s="8"/>
      <c r="C80" s="162" t="s">
        <v>115</v>
      </c>
      <c r="D80" s="122" t="e">
        <f>D77/'Conversion Constants'!$B$3*D73*'Conversion Constants'!$B$21</f>
        <v>#VALUE!</v>
      </c>
      <c r="E80" s="122" t="e">
        <f>E77/'Conversion Constants'!$B$3*E73*'Conversion Constants'!$B$21</f>
        <v>#VALUE!</v>
      </c>
      <c r="F80" s="122" t="e">
        <f>F77/'Conversion Constants'!$B$3*F73*'Conversion Constants'!$B$21</f>
        <v>#VALUE!</v>
      </c>
      <c r="G80" s="122" t="e">
        <f>G77/'Conversion Constants'!$B$3*G73*'Conversion Constants'!$B$21</f>
        <v>#VALUE!</v>
      </c>
      <c r="H80" s="122" t="e">
        <f>H77/'Conversion Constants'!$B$3*H73*'Conversion Constants'!$B$21</f>
        <v>#VALUE!</v>
      </c>
      <c r="I80" s="122" t="e">
        <f>I77/'Conversion Constants'!$B$3*I73*'Conversion Constants'!$B$21</f>
        <v>#VALUE!</v>
      </c>
      <c r="J80" s="122" t="e">
        <f>J77/'Conversion Constants'!$B$3*J73*'Conversion Constants'!$B$21</f>
        <v>#VALUE!</v>
      </c>
      <c r="K80" s="16"/>
      <c r="L80" s="205" t="e">
        <f>L77/'Conversion Constants'!$B$3*L73*'Conversion Constants'!$B$21</f>
        <v>#VALUE!</v>
      </c>
      <c r="M80" s="205" t="e">
        <f>M77/'Conversion Constants'!$B$3*M73*'Conversion Constants'!$B$21</f>
        <v>#VALUE!</v>
      </c>
      <c r="N80" s="205" t="e">
        <f>N77/'Conversion Constants'!$B$3*N73*'Conversion Constants'!$B$21</f>
        <v>#VALUE!</v>
      </c>
      <c r="O80" s="205" t="e">
        <f>O77/'Conversion Constants'!$B$3*O73*'Conversion Constants'!$B$21</f>
        <v>#VALUE!</v>
      </c>
      <c r="P80" s="205" t="e">
        <f>P77/'Conversion Constants'!$B$3*P73*'Conversion Constants'!$B$21</f>
        <v>#VALUE!</v>
      </c>
      <c r="Q80" s="205" t="e">
        <f>Q77/'Conversion Constants'!$B$3*Q73*'Conversion Constants'!$B$21</f>
        <v>#VALUE!</v>
      </c>
      <c r="R80" s="205" t="e">
        <f>R77/'Conversion Constants'!$B$3*R73*'Conversion Constants'!$B$21</f>
        <v>#VALUE!</v>
      </c>
      <c r="T80" s="122" t="e">
        <f>T77/'Conversion Constants'!$B$3*T73*'Conversion Constants'!$B$21</f>
        <v>#VALUE!</v>
      </c>
      <c r="U80" s="122" t="e">
        <f>U77/'Conversion Constants'!$B$3*U73*'Conversion Constants'!$B$21</f>
        <v>#VALUE!</v>
      </c>
      <c r="V80" s="122" t="e">
        <f>V77/'Conversion Constants'!$B$3*V73*'Conversion Constants'!$B$21</f>
        <v>#VALUE!</v>
      </c>
      <c r="W80" s="122" t="e">
        <f>W77/'Conversion Constants'!$B$3*W73*'Conversion Constants'!$B$21</f>
        <v>#VALUE!</v>
      </c>
      <c r="X80" s="122" t="e">
        <f>X77/'Conversion Constants'!$B$3*X73*'Conversion Constants'!$B$21</f>
        <v>#VALUE!</v>
      </c>
      <c r="Y80" s="122" t="e">
        <f>Y77/'Conversion Constants'!$B$3*Y73*'Conversion Constants'!$B$21</f>
        <v>#VALUE!</v>
      </c>
      <c r="Z80" s="122" t="e">
        <f>Z77/'Conversion Constants'!$B$3*Z73*'Conversion Constants'!$B$21</f>
        <v>#VALUE!</v>
      </c>
      <c r="AA80" s="16"/>
      <c r="AB80" s="196"/>
    </row>
    <row r="81" spans="2:28" ht="14" outlineLevel="1" x14ac:dyDescent="0.25">
      <c r="B81" s="8"/>
      <c r="C81" s="162" t="s">
        <v>116</v>
      </c>
      <c r="D81" s="122">
        <f>IF(D12=Dropdowns!$E$2,0,
  IF(D12=Dropdowns!$E$3,(D80/'Conversion Constants'!$B$8/'Conversion Constants'!$B$14*'Conversion Constants'!$B$10)*D76,
  IF(D12=Dropdowns!$E$4,(D80/'Conversion Constants'!$B$8/'Conversion Constants'!$B$15*'Conversion Constants'!$B$13)*D76,"n/a")))</f>
        <v>0</v>
      </c>
      <c r="E81" s="122">
        <f>IF(E12=Dropdowns!$E$2,0,
  IF(E12=Dropdowns!$E$3,(E80/'Conversion Constants'!$B$8/'Conversion Constants'!$B$14*'Conversion Constants'!$B$10)*E76,
  IF(E12=Dropdowns!$E$4,(E80/'Conversion Constants'!$B$8/'Conversion Constants'!$B$15*'Conversion Constants'!$B$13)*E76,"n/a")))</f>
        <v>0</v>
      </c>
      <c r="F81" s="122">
        <f>IF(F12=Dropdowns!$E$2,0,
  IF(F12=Dropdowns!$E$3,(F80/'Conversion Constants'!$B$8/'Conversion Constants'!$B$14*'Conversion Constants'!$B$10)*F76,
  IF(F12=Dropdowns!$E$4,(F80/'Conversion Constants'!$B$8/'Conversion Constants'!$B$15*'Conversion Constants'!$B$13)*F76,"n/a")))</f>
        <v>0</v>
      </c>
      <c r="G81" s="122">
        <f>IF(G12=Dropdowns!$E$2,0,
  IF(G12=Dropdowns!$E$3,(G80/'Conversion Constants'!$B$8/'Conversion Constants'!$B$14*'Conversion Constants'!$B$10)*G76,
  IF(G12=Dropdowns!$E$4,(G80/'Conversion Constants'!$B$8/'Conversion Constants'!$B$15*'Conversion Constants'!$B$13)*G76,"n/a")))</f>
        <v>0</v>
      </c>
      <c r="H81" s="122">
        <f>IF(H12=Dropdowns!$E$2,0,
  IF(H12=Dropdowns!$E$3,(H80/'Conversion Constants'!$B$8/'Conversion Constants'!$B$14*'Conversion Constants'!$B$10)*H76,
  IF(H12=Dropdowns!$E$4,(H80/'Conversion Constants'!$B$8/'Conversion Constants'!$B$15*'Conversion Constants'!$B$13)*H76,"n/a")))</f>
        <v>0</v>
      </c>
      <c r="I81" s="122">
        <f>IF(I12=Dropdowns!$E$2,0,
  IF(I12=Dropdowns!$E$3,(I80/'Conversion Constants'!$B$8/'Conversion Constants'!$B$14*'Conversion Constants'!$B$10)*I76,
  IF(I12=Dropdowns!$E$4,(I80/'Conversion Constants'!$B$8/'Conversion Constants'!$B$15*'Conversion Constants'!$B$13)*I76,"n/a")))</f>
        <v>0</v>
      </c>
      <c r="J81" s="122">
        <f>IF(J12=Dropdowns!$E$2,0,
  IF(J12=Dropdowns!$E$3,(J80/'Conversion Constants'!$B$8/'Conversion Constants'!$B$14*'Conversion Constants'!$B$10)*J76,
  IF(J12=Dropdowns!$E$4,(J80/'Conversion Constants'!$B$8/'Conversion Constants'!$B$15*'Conversion Constants'!$B$13)*J76,"n/a")))</f>
        <v>0</v>
      </c>
      <c r="K81" s="16"/>
      <c r="L81" s="205" t="e">
        <f>IF(L12=Dropdowns!$E$2,0,
  IF(L12=Dropdowns!$E$3,(L80/'Conversion Constants'!$B$8/'Conversion Constants'!$B$14*'Conversion Constants'!$B$10)*L76,
  IF(L12=Dropdowns!$E$4,(L80/'Conversion Constants'!$B$8/'Conversion Constants'!$B$15*'Conversion Constants'!$B$13)*L76,"n/a")))</f>
        <v>#VALUE!</v>
      </c>
      <c r="M81" s="205" t="e">
        <f>IF(M12=Dropdowns!$E$2,0,
  IF(M12=Dropdowns!$E$3,(M80/'Conversion Constants'!$B$8/'Conversion Constants'!$B$14*'Conversion Constants'!$B$10)*M76,
  IF(M12=Dropdowns!$E$4,(M80/'Conversion Constants'!$B$8/'Conversion Constants'!$B$15*'Conversion Constants'!$B$13)*M76,"n/a")))</f>
        <v>#VALUE!</v>
      </c>
      <c r="N81" s="205" t="e">
        <f>IF(N12=Dropdowns!$E$2,0,
  IF(N12=Dropdowns!$E$3,(N80/'Conversion Constants'!$B$8/'Conversion Constants'!$B$14*'Conversion Constants'!$B$10)*N76,
  IF(N12=Dropdowns!$E$4,(N80/'Conversion Constants'!$B$8/'Conversion Constants'!$B$15*'Conversion Constants'!$B$13)*N76,"n/a")))</f>
        <v>#VALUE!</v>
      </c>
      <c r="O81" s="205" t="e">
        <f>IF(O12=Dropdowns!$E$2,0,
  IF(O12=Dropdowns!$E$3,(O80/'Conversion Constants'!$B$8/'Conversion Constants'!$B$14*'Conversion Constants'!$B$10)*O76,
  IF(O12=Dropdowns!$E$4,(O80/'Conversion Constants'!$B$8/'Conversion Constants'!$B$15*'Conversion Constants'!$B$13)*O76,"n/a")))</f>
        <v>#VALUE!</v>
      </c>
      <c r="P81" s="205" t="e">
        <f>IF(P12=Dropdowns!$E$2,0,
  IF(P12=Dropdowns!$E$3,(P80/'Conversion Constants'!$B$8/'Conversion Constants'!$B$14*'Conversion Constants'!$B$10)*P76,
  IF(P12=Dropdowns!$E$4,(P80/'Conversion Constants'!$B$8/'Conversion Constants'!$B$15*'Conversion Constants'!$B$13)*P76,"n/a")))</f>
        <v>#VALUE!</v>
      </c>
      <c r="Q81" s="205" t="e">
        <f>IF(Q12=Dropdowns!$E$2,0,
  IF(Q12=Dropdowns!$E$3,(Q80/'Conversion Constants'!$B$8/'Conversion Constants'!$B$14*'Conversion Constants'!$B$10)*Q76,
  IF(Q12=Dropdowns!$E$4,(Q80/'Conversion Constants'!$B$8/'Conversion Constants'!$B$15*'Conversion Constants'!$B$13)*Q76,"n/a")))</f>
        <v>#VALUE!</v>
      </c>
      <c r="R81" s="205" t="e">
        <f>IF(R12=Dropdowns!$E$2,0,
  IF(R12=Dropdowns!$E$3,(R80/'Conversion Constants'!$B$8/'Conversion Constants'!$B$14*'Conversion Constants'!$B$10)*R76,
  IF(R12=Dropdowns!$E$4,(R80/'Conversion Constants'!$B$8/'Conversion Constants'!$B$15*'Conversion Constants'!$B$13)*R76,"n/a")))</f>
        <v>#VALUE!</v>
      </c>
      <c r="T81" s="122" t="e">
        <f>IF(T12=Dropdowns!$E$2,0,
  IF(T12=Dropdowns!$E$3,(T80/'Conversion Constants'!$B$8/'Conversion Constants'!$B$14*'Conversion Constants'!$B$10)*T76,
  IF(T12=Dropdowns!$E$4,(T80/'Conversion Constants'!$B$8/'Conversion Constants'!$B$15*'Conversion Constants'!$B$13)*T76,"n/a")))</f>
        <v>#VALUE!</v>
      </c>
      <c r="U81" s="122" t="e">
        <f>IF(U12=Dropdowns!$E$2,0,
  IF(U12=Dropdowns!$E$3,(U80/'Conversion Constants'!$B$8/'Conversion Constants'!$B$14*'Conversion Constants'!$B$10)*U76,
  IF(U12=Dropdowns!$E$4,(U80/'Conversion Constants'!$B$8/'Conversion Constants'!$B$15*'Conversion Constants'!$B$13)*U76,"n/a")))</f>
        <v>#VALUE!</v>
      </c>
      <c r="V81" s="122" t="e">
        <f>IF(V12=Dropdowns!$E$2,0,
  IF(V12=Dropdowns!$E$3,(V80/'Conversion Constants'!$B$8/'Conversion Constants'!$B$14*'Conversion Constants'!$B$10)*V76,
  IF(V12=Dropdowns!$E$4,(V80/'Conversion Constants'!$B$8/'Conversion Constants'!$B$15*'Conversion Constants'!$B$13)*V76,"n/a")))</f>
        <v>#VALUE!</v>
      </c>
      <c r="W81" s="122" t="e">
        <f>IF(W12=Dropdowns!$E$2,0,
  IF(W12=Dropdowns!$E$3,(W80/'Conversion Constants'!$B$8/'Conversion Constants'!$B$14*'Conversion Constants'!$B$10)*W76,
  IF(W12=Dropdowns!$E$4,(W80/'Conversion Constants'!$B$8/'Conversion Constants'!$B$15*'Conversion Constants'!$B$13)*W76,"n/a")))</f>
        <v>#VALUE!</v>
      </c>
      <c r="X81" s="122" t="e">
        <f>IF(X12=Dropdowns!$E$2,0,
  IF(X12=Dropdowns!$E$3,(X80/'Conversion Constants'!$B$8/'Conversion Constants'!$B$14*'Conversion Constants'!$B$10)*X76,
  IF(X12=Dropdowns!$E$4,(X80/'Conversion Constants'!$B$8/'Conversion Constants'!$B$15*'Conversion Constants'!$B$13)*X76,"n/a")))</f>
        <v>#VALUE!</v>
      </c>
      <c r="Y81" s="122" t="e">
        <f>IF(Y12=Dropdowns!$E$2,0,
  IF(Y12=Dropdowns!$E$3,(Y80/'Conversion Constants'!$B$8/'Conversion Constants'!$B$14*'Conversion Constants'!$B$10)*Y76,
  IF(Y12=Dropdowns!$E$4,(Y80/'Conversion Constants'!$B$8/'Conversion Constants'!$B$15*'Conversion Constants'!$B$13)*Y76,"n/a")))</f>
        <v>#VALUE!</v>
      </c>
      <c r="Z81" s="122" t="e">
        <f>IF(Z12=Dropdowns!$E$2,0,
  IF(Z12=Dropdowns!$E$3,(Z80/'Conversion Constants'!$B$8/'Conversion Constants'!$B$14*'Conversion Constants'!$B$10)*Z76,
  IF(Z12=Dropdowns!$E$4,(Z80/'Conversion Constants'!$B$8/'Conversion Constants'!$B$15*'Conversion Constants'!$B$13)*Z76,"n/a")))</f>
        <v>#VALUE!</v>
      </c>
      <c r="AA81" s="16"/>
      <c r="AB81" s="196"/>
    </row>
    <row r="82" spans="2:28" ht="14" outlineLevel="1" x14ac:dyDescent="0.25">
      <c r="B82" s="8"/>
      <c r="C82" s="162" t="s">
        <v>117</v>
      </c>
      <c r="D82" s="122">
        <f>IF(D12=Dropdowns!$E$2,0,IF(D12=Dropdowns!$E$3,D81*'Conversion Constants'!$B$2/'Conversion Constants'!$B$21,IF(D12=Dropdowns!$E$4,D81*'Conversion Constants'!$B$4/'Conversion Constants'!$B$21,"n/a")))</f>
        <v>0</v>
      </c>
      <c r="E82" s="122">
        <f>IF(E12=Dropdowns!$E$2,0,IF(E12=Dropdowns!$E$3,E81*'Conversion Constants'!$B$2/'Conversion Constants'!$B$21,IF(E12=Dropdowns!$E$4,E81*'Conversion Constants'!$B$4/'Conversion Constants'!$B$21,"n/a")))</f>
        <v>0</v>
      </c>
      <c r="F82" s="122">
        <f>IF(F12=Dropdowns!$E$2,0,IF(F12=Dropdowns!$E$3,F81*'Conversion Constants'!$B$2/'Conversion Constants'!$B$21,IF(F12=Dropdowns!$E$4,F81*'Conversion Constants'!$B$4/'Conversion Constants'!$B$21,"n/a")))</f>
        <v>0</v>
      </c>
      <c r="G82" s="122">
        <f>IF(G12=Dropdowns!$E$2,0,IF(G12=Dropdowns!$E$3,G81*'Conversion Constants'!$B$2/'Conversion Constants'!$B$21,IF(G12=Dropdowns!$E$4,G81*'Conversion Constants'!$B$4/'Conversion Constants'!$B$21,"n/a")))</f>
        <v>0</v>
      </c>
      <c r="H82" s="122">
        <f>IF(H12=Dropdowns!$E$2,0,IF(H12=Dropdowns!$E$3,H81*'Conversion Constants'!$B$2/'Conversion Constants'!$B$21,IF(H12=Dropdowns!$E$4,H81*'Conversion Constants'!$B$4/'Conversion Constants'!$B$21,"n/a")))</f>
        <v>0</v>
      </c>
      <c r="I82" s="122">
        <f>IF(I12=Dropdowns!$E$2,0,IF(I12=Dropdowns!$E$3,I81*'Conversion Constants'!$B$2/'Conversion Constants'!$B$21,IF(I12=Dropdowns!$E$4,I81*'Conversion Constants'!$B$4/'Conversion Constants'!$B$21,"n/a")))</f>
        <v>0</v>
      </c>
      <c r="J82" s="122">
        <f>IF(J12=Dropdowns!$E$2,0,IF(J12=Dropdowns!$E$3,J81*'Conversion Constants'!$B$2/'Conversion Constants'!$B$21,IF(J12=Dropdowns!$E$4,J81*'Conversion Constants'!$B$4/'Conversion Constants'!$B$21,"n/a")))</f>
        <v>0</v>
      </c>
      <c r="K82" s="16"/>
      <c r="L82" s="205" t="e">
        <f>IF(L12=Dropdowns!$E$2,0,IF(L12=Dropdowns!$E$3,L81*'Conversion Constants'!$B$2/'Conversion Constants'!$B$21,IF(L12=Dropdowns!$E$4,L81*'Conversion Constants'!$B$4/'Conversion Constants'!$B$21,"n/a")))</f>
        <v>#VALUE!</v>
      </c>
      <c r="M82" s="205" t="e">
        <f>IF(M12=Dropdowns!$E$2,0,IF(M12=Dropdowns!$E$3,M81*'Conversion Constants'!$B$2/'Conversion Constants'!$B$21,IF(M12=Dropdowns!$E$4,M81*'Conversion Constants'!$B$4/'Conversion Constants'!$B$21,"n/a")))</f>
        <v>#VALUE!</v>
      </c>
      <c r="N82" s="205" t="e">
        <f>IF(N12=Dropdowns!$E$2,0,IF(N12=Dropdowns!$E$3,N81*'Conversion Constants'!$B$2/'Conversion Constants'!$B$21,IF(N12=Dropdowns!$E$4,N81*'Conversion Constants'!$B$4/'Conversion Constants'!$B$21,"n/a")))</f>
        <v>#VALUE!</v>
      </c>
      <c r="O82" s="205" t="e">
        <f>IF(O12=Dropdowns!$E$2,0,IF(O12=Dropdowns!$E$3,O81*'Conversion Constants'!$B$2/'Conversion Constants'!$B$21,IF(O12=Dropdowns!$E$4,O81*'Conversion Constants'!$B$4/'Conversion Constants'!$B$21,"n/a")))</f>
        <v>#VALUE!</v>
      </c>
      <c r="P82" s="205" t="e">
        <f>IF(P12=Dropdowns!$E$2,0,IF(P12=Dropdowns!$E$3,P81*'Conversion Constants'!$B$2/'Conversion Constants'!$B$21,IF(P12=Dropdowns!$E$4,P81*'Conversion Constants'!$B$4/'Conversion Constants'!$B$21,"n/a")))</f>
        <v>#VALUE!</v>
      </c>
      <c r="Q82" s="205" t="e">
        <f>IF(Q12=Dropdowns!$E$2,0,IF(Q12=Dropdowns!$E$3,Q81*'Conversion Constants'!$B$2/'Conversion Constants'!$B$21,IF(Q12=Dropdowns!$E$4,Q81*'Conversion Constants'!$B$4/'Conversion Constants'!$B$21,"n/a")))</f>
        <v>#VALUE!</v>
      </c>
      <c r="R82" s="205" t="e">
        <f>IF(R12=Dropdowns!$E$2,0,IF(R12=Dropdowns!$E$3,R81*'Conversion Constants'!$B$2/'Conversion Constants'!$B$21,IF(R12=Dropdowns!$E$4,R81*'Conversion Constants'!$B$4/'Conversion Constants'!$B$21,"n/a")))</f>
        <v>#VALUE!</v>
      </c>
      <c r="T82" s="122" t="e">
        <f>IF(T12=Dropdowns!$E$2,0,IF(T12=Dropdowns!$E$3,T81*'Conversion Constants'!$B$2/'Conversion Constants'!$B$21,IF(T12=Dropdowns!$E$4,T81*'Conversion Constants'!$B$4/'Conversion Constants'!$B$21,"n/a")))</f>
        <v>#VALUE!</v>
      </c>
      <c r="U82" s="122" t="e">
        <f>IF(U12=Dropdowns!$E$2,0,IF(U12=Dropdowns!$E$3,U81*'Conversion Constants'!$B$2/'Conversion Constants'!$B$21,IF(U12=Dropdowns!$E$4,U81*'Conversion Constants'!$B$4/'Conversion Constants'!$B$21,"n/a")))</f>
        <v>#VALUE!</v>
      </c>
      <c r="V82" s="122" t="e">
        <f>IF(V12=Dropdowns!$E$2,0,IF(V12=Dropdowns!$E$3,V81*'Conversion Constants'!$B$2/'Conversion Constants'!$B$21,IF(V12=Dropdowns!$E$4,V81*'Conversion Constants'!$B$4/'Conversion Constants'!$B$21,"n/a")))</f>
        <v>#VALUE!</v>
      </c>
      <c r="W82" s="122" t="e">
        <f>IF(W12=Dropdowns!$E$2,0,IF(W12=Dropdowns!$E$3,W81*'Conversion Constants'!$B$2/'Conversion Constants'!$B$21,IF(W12=Dropdowns!$E$4,W81*'Conversion Constants'!$B$4/'Conversion Constants'!$B$21,"n/a")))</f>
        <v>#VALUE!</v>
      </c>
      <c r="X82" s="122" t="e">
        <f>IF(X12=Dropdowns!$E$2,0,IF(X12=Dropdowns!$E$3,X81*'Conversion Constants'!$B$2/'Conversion Constants'!$B$21,IF(X12=Dropdowns!$E$4,X81*'Conversion Constants'!$B$4/'Conversion Constants'!$B$21,"n/a")))</f>
        <v>#VALUE!</v>
      </c>
      <c r="Y82" s="122" t="e">
        <f>IF(Y12=Dropdowns!$E$2,0,IF(Y12=Dropdowns!$E$3,Y81*'Conversion Constants'!$B$2/'Conversion Constants'!$B$21,IF(Y12=Dropdowns!$E$4,Y81*'Conversion Constants'!$B$4/'Conversion Constants'!$B$21,"n/a")))</f>
        <v>#VALUE!</v>
      </c>
      <c r="Z82" s="122" t="e">
        <f>IF(Z12=Dropdowns!$E$2,0,IF(Z12=Dropdowns!$E$3,Z81*'Conversion Constants'!$B$2/'Conversion Constants'!$B$21,IF(Z12=Dropdowns!$E$4,Z81*'Conversion Constants'!$B$4/'Conversion Constants'!$B$21,"n/a")))</f>
        <v>#VALUE!</v>
      </c>
      <c r="AA82" s="16"/>
      <c r="AB82" s="196"/>
    </row>
    <row r="83" spans="2:28" ht="14" outlineLevel="1" x14ac:dyDescent="0.25">
      <c r="B83" s="8"/>
      <c r="C83" s="162" t="s">
        <v>118</v>
      </c>
      <c r="D83" s="122">
        <f>IF(D12=Dropdowns!$E$2,0,
  IF(D12=Dropdowns!$E$3,D80/'Conversion Constants'!$B$8/'Conversion Constants'!$B$14*'Conversion Constants'!$B$9/D75,
  IF(D12=Dropdowns!$E$4,D80/'Conversion Constants'!$B$8/'Conversion Constants'!$B$15*'Conversion Constants'!$B$9*'Conversion Constants'!$B$11/D75,"n/a")))</f>
        <v>0</v>
      </c>
      <c r="E83" s="122">
        <f>IF(E12=Dropdowns!$E$2,0,
  IF(E12=Dropdowns!$E$3,E80/'Conversion Constants'!$B$8/'Conversion Constants'!$B$14*'Conversion Constants'!$B$9/E75,
  IF(E12=Dropdowns!$E$4,E80/'Conversion Constants'!$B$8/'Conversion Constants'!$B$15*'Conversion Constants'!$B$9*'Conversion Constants'!$B$11/E75,"n/a")))</f>
        <v>0</v>
      </c>
      <c r="F83" s="122">
        <f>IF(F12=Dropdowns!$E$2,0,
  IF(F12=Dropdowns!$E$3,F80/'Conversion Constants'!$B$8/'Conversion Constants'!$B$14*'Conversion Constants'!$B$9/F75,
  IF(F12=Dropdowns!$E$4,F80/'Conversion Constants'!$B$8/'Conversion Constants'!$B$15*'Conversion Constants'!$B$9*'Conversion Constants'!$B$11/F75,"n/a")))</f>
        <v>0</v>
      </c>
      <c r="G83" s="122">
        <f>IF(G12=Dropdowns!$E$2,0,
  IF(G12=Dropdowns!$E$3,G80/'Conversion Constants'!$B$8/'Conversion Constants'!$B$14*'Conversion Constants'!$B$9/G75,
  IF(G12=Dropdowns!$E$4,G80/'Conversion Constants'!$B$8/'Conversion Constants'!$B$15*'Conversion Constants'!$B$9*'Conversion Constants'!$B$11/G75,"n/a")))</f>
        <v>0</v>
      </c>
      <c r="H83" s="122">
        <f>IF(H12=Dropdowns!$E$2,0,
  IF(H12=Dropdowns!$E$3,H80/'Conversion Constants'!$B$8/'Conversion Constants'!$B$14*'Conversion Constants'!$B$9/H75,
  IF(H12=Dropdowns!$E$4,H80/'Conversion Constants'!$B$8/'Conversion Constants'!$B$15*'Conversion Constants'!$B$9*'Conversion Constants'!$B$11/H75,"n/a")))</f>
        <v>0</v>
      </c>
      <c r="I83" s="122">
        <f>IF(I12=Dropdowns!$E$2,0,
  IF(I12=Dropdowns!$E$3,I80/'Conversion Constants'!$B$8/'Conversion Constants'!$B$14*'Conversion Constants'!$B$9/I75,
  IF(I12=Dropdowns!$E$4,I80/'Conversion Constants'!$B$8/'Conversion Constants'!$B$15*'Conversion Constants'!$B$9*'Conversion Constants'!$B$11/I75,"n/a")))</f>
        <v>0</v>
      </c>
      <c r="J83" s="122">
        <f>IF(J12=Dropdowns!$E$2,0,
  IF(J12=Dropdowns!$E$3,J80/'Conversion Constants'!$B$8/'Conversion Constants'!$B$14*'Conversion Constants'!$B$9/J75,
  IF(J12=Dropdowns!$E$4,J80/'Conversion Constants'!$B$8/'Conversion Constants'!$B$15*'Conversion Constants'!$B$9*'Conversion Constants'!$B$11/J75,"n/a")))</f>
        <v>0</v>
      </c>
      <c r="K83" s="16"/>
      <c r="L83" s="205" t="e">
        <f>IF(L12=Dropdowns!$E$2,0,
  IF(L12=Dropdowns!$E$3,L80/'Conversion Constants'!$B$8/'Conversion Constants'!$B$14*'Conversion Constants'!$B$9/L75,
  IF(L12=Dropdowns!$E$4,L80/'Conversion Constants'!$B$8/'Conversion Constants'!$B$15*'Conversion Constants'!$B$9*'Conversion Constants'!$B$11/L75,"n/a")))</f>
        <v>#VALUE!</v>
      </c>
      <c r="M83" s="205" t="e">
        <f>IF(M12=Dropdowns!$E$2,0,
  IF(M12=Dropdowns!$E$3,M80/'Conversion Constants'!$B$8/'Conversion Constants'!$B$14*'Conversion Constants'!$B$9/M75,
  IF(M12=Dropdowns!$E$4,M80/'Conversion Constants'!$B$8/'Conversion Constants'!$B$15*'Conversion Constants'!$B$9*'Conversion Constants'!$B$11/M75,"n/a")))</f>
        <v>#VALUE!</v>
      </c>
      <c r="N83" s="205" t="e">
        <f>IF(N12=Dropdowns!$E$2,0,
  IF(N12=Dropdowns!$E$3,N80/'Conversion Constants'!$B$8/'Conversion Constants'!$B$14*'Conversion Constants'!$B$9/N75,
  IF(N12=Dropdowns!$E$4,N80/'Conversion Constants'!$B$8/'Conversion Constants'!$B$15*'Conversion Constants'!$B$9*'Conversion Constants'!$B$11/N75,"n/a")))</f>
        <v>#VALUE!</v>
      </c>
      <c r="O83" s="205" t="e">
        <f>IF(O12=Dropdowns!$E$2,0,
  IF(O12=Dropdowns!$E$3,O80/'Conversion Constants'!$B$8/'Conversion Constants'!$B$14*'Conversion Constants'!$B$9/O75,
  IF(O12=Dropdowns!$E$4,O80/'Conversion Constants'!$B$8/'Conversion Constants'!$B$15*'Conversion Constants'!$B$9*'Conversion Constants'!$B$11/O75,"n/a")))</f>
        <v>#VALUE!</v>
      </c>
      <c r="P83" s="205" t="e">
        <f>IF(P12=Dropdowns!$E$2,0,
  IF(P12=Dropdowns!$E$3,P80/'Conversion Constants'!$B$8/'Conversion Constants'!$B$14*'Conversion Constants'!$B$9/P75,
  IF(P12=Dropdowns!$E$4,P80/'Conversion Constants'!$B$8/'Conversion Constants'!$B$15*'Conversion Constants'!$B$9*'Conversion Constants'!$B$11/P75,"n/a")))</f>
        <v>#VALUE!</v>
      </c>
      <c r="Q83" s="205" t="e">
        <f>IF(Q12=Dropdowns!$E$2,0,
  IF(Q12=Dropdowns!$E$3,Q80/'Conversion Constants'!$B$8/'Conversion Constants'!$B$14*'Conversion Constants'!$B$9/Q75,
  IF(Q12=Dropdowns!$E$4,Q80/'Conversion Constants'!$B$8/'Conversion Constants'!$B$15*'Conversion Constants'!$B$9*'Conversion Constants'!$B$11/Q75,"n/a")))</f>
        <v>#VALUE!</v>
      </c>
      <c r="R83" s="205" t="e">
        <f>IF(R12=Dropdowns!$E$2,0,
  IF(R12=Dropdowns!$E$3,R80/'Conversion Constants'!$B$8/'Conversion Constants'!$B$14*'Conversion Constants'!$B$9/R75,
  IF(R12=Dropdowns!$E$4,R80/'Conversion Constants'!$B$8/'Conversion Constants'!$B$15*'Conversion Constants'!$B$9*'Conversion Constants'!$B$11/R75,"n/a")))</f>
        <v>#VALUE!</v>
      </c>
      <c r="T83" s="122" t="e">
        <f>IF(T12=Dropdowns!$E$2,0,
  IF(T12=Dropdowns!$E$3,T80/'Conversion Constants'!$B$8/'Conversion Constants'!$B$14*'Conversion Constants'!$B$9/T75,
  IF(T12=Dropdowns!$E$4,T80/'Conversion Constants'!$B$8/'Conversion Constants'!$B$15*'Conversion Constants'!$B$9*'Conversion Constants'!$B$11/T75,"n/a")))</f>
        <v>#VALUE!</v>
      </c>
      <c r="U83" s="122" t="e">
        <f>IF(U12=Dropdowns!$E$2,0,
  IF(U12=Dropdowns!$E$3,U80/'Conversion Constants'!$B$8/'Conversion Constants'!$B$14*'Conversion Constants'!$B$9/U75,
  IF(U12=Dropdowns!$E$4,U80/'Conversion Constants'!$B$8/'Conversion Constants'!$B$15*'Conversion Constants'!$B$9*'Conversion Constants'!$B$11/U75,"n/a")))</f>
        <v>#VALUE!</v>
      </c>
      <c r="V83" s="122" t="e">
        <f>IF(V12=Dropdowns!$E$2,0,
  IF(V12=Dropdowns!$E$3,V80/'Conversion Constants'!$B$8/'Conversion Constants'!$B$14*'Conversion Constants'!$B$9/V75,
  IF(V12=Dropdowns!$E$4,V80/'Conversion Constants'!$B$8/'Conversion Constants'!$B$15*'Conversion Constants'!$B$9*'Conversion Constants'!$B$11/V75,"n/a")))</f>
        <v>#VALUE!</v>
      </c>
      <c r="W83" s="122" t="e">
        <f>IF(W12=Dropdowns!$E$2,0,
  IF(W12=Dropdowns!$E$3,W80/'Conversion Constants'!$B$8/'Conversion Constants'!$B$14*'Conversion Constants'!$B$9/W75,
  IF(W12=Dropdowns!$E$4,W80/'Conversion Constants'!$B$8/'Conversion Constants'!$B$15*'Conversion Constants'!$B$9*'Conversion Constants'!$B$11/W75,"n/a")))</f>
        <v>#VALUE!</v>
      </c>
      <c r="X83" s="122" t="e">
        <f>IF(X12=Dropdowns!$E$2,0,
  IF(X12=Dropdowns!$E$3,X80/'Conversion Constants'!$B$8/'Conversion Constants'!$B$14*'Conversion Constants'!$B$9/X75,
  IF(X12=Dropdowns!$E$4,X80/'Conversion Constants'!$B$8/'Conversion Constants'!$B$15*'Conversion Constants'!$B$9*'Conversion Constants'!$B$11/X75,"n/a")))</f>
        <v>#VALUE!</v>
      </c>
      <c r="Y83" s="122" t="e">
        <f>IF(Y12=Dropdowns!$E$2,0,
  IF(Y12=Dropdowns!$E$3,Y80/'Conversion Constants'!$B$8/'Conversion Constants'!$B$14*'Conversion Constants'!$B$9/Y75,
  IF(Y12=Dropdowns!$E$4,Y80/'Conversion Constants'!$B$8/'Conversion Constants'!$B$15*'Conversion Constants'!$B$9*'Conversion Constants'!$B$11/Y75,"n/a")))</f>
        <v>#VALUE!</v>
      </c>
      <c r="Z83" s="122" t="e">
        <f>IF(Z12=Dropdowns!$E$2,0,
  IF(Z12=Dropdowns!$E$3,Z80/'Conversion Constants'!$B$8/'Conversion Constants'!$B$14*'Conversion Constants'!$B$9/Z75,
  IF(Z12=Dropdowns!$E$4,Z80/'Conversion Constants'!$B$8/'Conversion Constants'!$B$15*'Conversion Constants'!$B$9*'Conversion Constants'!$B$11/Z75,"n/a")))</f>
        <v>#VALUE!</v>
      </c>
      <c r="AA83" s="16"/>
      <c r="AB83" s="196"/>
    </row>
    <row r="84" spans="2:28" ht="14" outlineLevel="1" x14ac:dyDescent="0.25">
      <c r="B84" s="8"/>
      <c r="C84" s="162" t="s">
        <v>119</v>
      </c>
      <c r="D84" s="122">
        <f>IF(D15=Dropdowns!$F$2,D83*IF(D19=Dropdowns!$B$3,'Cost and Efficiency Data (R)'!$V$75,'Cost and Efficiency Data (R)'!$F$75)/'Conversion Constants'!$B$21,IF(D15=Dropdowns!$F$4,D83*IF(D19=Dropdowns!$B$3,'Cost and Efficiency Data (R)'!$W$75,'Cost and Efficiency Data (R)'!$G$75)/'Conversion Constants'!$B$21,0))</f>
        <v>0</v>
      </c>
      <c r="E84" s="122">
        <f>IF(E15=Dropdowns!$F$2,E83*IF(E19=Dropdowns!$B$3,'Cost and Efficiency Data (R)'!$V$75,'Cost and Efficiency Data (R)'!$F$75)/'Conversion Constants'!$B$21,IF(E15=Dropdowns!$F$4,E83*IF(E19=Dropdowns!$B$3,'Cost and Efficiency Data (R)'!$W$75,'Cost and Efficiency Data (R)'!$G$75)/'Conversion Constants'!$B$21,0))</f>
        <v>0</v>
      </c>
      <c r="F84" s="122">
        <f>IF(F15=Dropdowns!$F$2,F83*IF(F19=Dropdowns!$B$3,'Cost and Efficiency Data (R)'!$V$75,'Cost and Efficiency Data (R)'!$F$75)/'Conversion Constants'!$B$21,IF(F15=Dropdowns!$F$4,F83*IF(F19=Dropdowns!$B$3,'Cost and Efficiency Data (R)'!$W$75,'Cost and Efficiency Data (R)'!$G$75)/'Conversion Constants'!$B$21,0))</f>
        <v>0</v>
      </c>
      <c r="G84" s="122">
        <f>IF(G15=Dropdowns!$F$2,G83*IF(G19=Dropdowns!$B$3,'Cost and Efficiency Data (R)'!$V$75,'Cost and Efficiency Data (R)'!$F$75)/'Conversion Constants'!$B$21,IF(G15=Dropdowns!$F$4,G83*IF(G19=Dropdowns!$B$3,'Cost and Efficiency Data (R)'!$W$75,'Cost and Efficiency Data (R)'!$G$75)/'Conversion Constants'!$B$21,0))</f>
        <v>0</v>
      </c>
      <c r="H84" s="122">
        <f>IF(H15=Dropdowns!$F$2,H83*IF(H19=Dropdowns!$B$3,'Cost and Efficiency Data (R)'!$V$75,'Cost and Efficiency Data (R)'!$F$75)/'Conversion Constants'!$B$21,IF(H15=Dropdowns!$F$4,H83*IF(H19=Dropdowns!$B$3,'Cost and Efficiency Data (R)'!$W$75,'Cost and Efficiency Data (R)'!$G$75)/'Conversion Constants'!$B$21,0))</f>
        <v>0</v>
      </c>
      <c r="I84" s="122">
        <f>IF(I15=Dropdowns!$F$2,I83*IF(I19=Dropdowns!$B$3,'Cost and Efficiency Data (R)'!$V$75,'Cost and Efficiency Data (R)'!$F$75)/'Conversion Constants'!$B$21,IF(I15=Dropdowns!$F$4,I83*IF(I19=Dropdowns!$B$3,'Cost and Efficiency Data (R)'!$W$75,'Cost and Efficiency Data (R)'!$G$75)/'Conversion Constants'!$B$21,0))</f>
        <v>0</v>
      </c>
      <c r="J84" s="122">
        <f>IF(J15=Dropdowns!$F$2,J83*IF(J19=Dropdowns!$B$3,'Cost and Efficiency Data (R)'!$V$75,'Cost and Efficiency Data (R)'!$F$75)/'Conversion Constants'!$B$21,IF(J15=Dropdowns!$F$4,J83*IF(J19=Dropdowns!$B$3,'Cost and Efficiency Data (R)'!$W$75,'Cost and Efficiency Data (R)'!$G$75)/'Conversion Constants'!$B$21,0))</f>
        <v>0</v>
      </c>
      <c r="K84" s="16"/>
      <c r="L84" s="205" t="e">
        <f>IF(L15=Dropdowns!$F$2,L83*IF(L19=Dropdowns!$B$3,'Cost and Efficiency Data (R)'!$V$75,'Cost and Efficiency Data (R)'!$F$75)/'Conversion Constants'!$B$21,IF(L15=Dropdowns!$F$4,L83*IF(L19=Dropdowns!$B$3,'Cost and Efficiency Data (R)'!$W$75,'Cost and Efficiency Data (R)'!$G$75)/'Conversion Constants'!$B$21,0))</f>
        <v>#VALUE!</v>
      </c>
      <c r="M84" s="205" t="e">
        <f>IF(M15=Dropdowns!$F$2,M83*IF(M19=Dropdowns!$B$3,'Cost and Efficiency Data (R)'!$V$75,'Cost and Efficiency Data (R)'!$F$75)/'Conversion Constants'!$B$21,IF(M15=Dropdowns!$F$4,M83*IF(M19=Dropdowns!$B$3,'Cost and Efficiency Data (R)'!$W$75,'Cost and Efficiency Data (R)'!$G$75)/'Conversion Constants'!$B$21,0))</f>
        <v>#VALUE!</v>
      </c>
      <c r="N84" s="205" t="e">
        <f>IF(N15=Dropdowns!$F$2,N83*IF(N19=Dropdowns!$B$3,'Cost and Efficiency Data (R)'!$V$75,'Cost and Efficiency Data (R)'!$F$75)/'Conversion Constants'!$B$21,IF(N15=Dropdowns!$F$4,N83*IF(N19=Dropdowns!$B$3,'Cost and Efficiency Data (R)'!$W$75,'Cost and Efficiency Data (R)'!$G$75)/'Conversion Constants'!$B$21,0))</f>
        <v>#VALUE!</v>
      </c>
      <c r="O84" s="205" t="e">
        <f>IF(O15=Dropdowns!$F$2,O83*IF(O19=Dropdowns!$B$3,'Cost and Efficiency Data (R)'!$V$75,'Cost and Efficiency Data (R)'!$F$75)/'Conversion Constants'!$B$21,IF(O15=Dropdowns!$F$4,O83*IF(O19=Dropdowns!$B$3,'Cost and Efficiency Data (R)'!$W$75,'Cost and Efficiency Data (R)'!$G$75)/'Conversion Constants'!$B$21,0))</f>
        <v>#VALUE!</v>
      </c>
      <c r="P84" s="205" t="e">
        <f>IF(P15=Dropdowns!$F$2,P83*IF(P19=Dropdowns!$B$3,'Cost and Efficiency Data (R)'!$V$75,'Cost and Efficiency Data (R)'!$F$75)/'Conversion Constants'!$B$21,IF(P15=Dropdowns!$F$4,P83*IF(P19=Dropdowns!$B$3,'Cost and Efficiency Data (R)'!$W$75,'Cost and Efficiency Data (R)'!$G$75)/'Conversion Constants'!$B$21,0))</f>
        <v>#VALUE!</v>
      </c>
      <c r="Q84" s="205" t="e">
        <f>IF(Q15=Dropdowns!$F$2,Q83*IF(Q19=Dropdowns!$B$3,'Cost and Efficiency Data (R)'!$V$75,'Cost and Efficiency Data (R)'!$F$75)/'Conversion Constants'!$B$21,IF(Q15=Dropdowns!$F$4,Q83*IF(Q19=Dropdowns!$B$3,'Cost and Efficiency Data (R)'!$W$75,'Cost and Efficiency Data (R)'!$G$75)/'Conversion Constants'!$B$21,0))</f>
        <v>#VALUE!</v>
      </c>
      <c r="R84" s="205" t="e">
        <f>IF(R15=Dropdowns!$F$2,R83*IF(R19=Dropdowns!$B$3,'Cost and Efficiency Data (R)'!$V$75,'Cost and Efficiency Data (R)'!$F$75)/'Conversion Constants'!$B$21,IF(R15=Dropdowns!$F$4,R83*IF(R19=Dropdowns!$B$3,'Cost and Efficiency Data (R)'!$W$75,'Cost and Efficiency Data (R)'!$G$75)/'Conversion Constants'!$B$21,0))</f>
        <v>#VALUE!</v>
      </c>
      <c r="T84" s="122">
        <f>IF(T15=Dropdowns!$F$2,T83*IF(T19=Dropdowns!$B$3,'Cost and Efficiency Data (R)'!$V$75,'Cost and Efficiency Data (R)'!$F$75)/'Conversion Constants'!$B$21,IF(T15=Dropdowns!$F$4,T83*IF(T19=Dropdowns!$B$3,'Cost and Efficiency Data (R)'!$W$75,'Cost and Efficiency Data (R)'!$G$75)/'Conversion Constants'!$B$21,0))</f>
        <v>0</v>
      </c>
      <c r="U84" s="122">
        <f>IF(U15=Dropdowns!$F$2,U83*IF(U19=Dropdowns!$B$3,'Cost and Efficiency Data (R)'!$V$75,'Cost and Efficiency Data (R)'!$F$75)/'Conversion Constants'!$B$21,IF(U15=Dropdowns!$F$4,U83*IF(U19=Dropdowns!$B$3,'Cost and Efficiency Data (R)'!$W$75,'Cost and Efficiency Data (R)'!$G$75)/'Conversion Constants'!$B$21,0))</f>
        <v>0</v>
      </c>
      <c r="V84" s="122">
        <f>IF(V15=Dropdowns!$F$2,V83*IF(V19=Dropdowns!$B$3,'Cost and Efficiency Data (R)'!$V$75,'Cost and Efficiency Data (R)'!$F$75)/'Conversion Constants'!$B$21,IF(V15=Dropdowns!$F$4,V83*IF(V19=Dropdowns!$B$3,'Cost and Efficiency Data (R)'!$W$75,'Cost and Efficiency Data (R)'!$G$75)/'Conversion Constants'!$B$21,0))</f>
        <v>0</v>
      </c>
      <c r="W84" s="122">
        <f>IF(W15=Dropdowns!$F$2,W83*IF(W19=Dropdowns!$B$3,'Cost and Efficiency Data (R)'!$V$75,'Cost and Efficiency Data (R)'!$F$75)/'Conversion Constants'!$B$21,IF(W15=Dropdowns!$F$4,W83*IF(W19=Dropdowns!$B$3,'Cost and Efficiency Data (R)'!$W$75,'Cost and Efficiency Data (R)'!$G$75)/'Conversion Constants'!$B$21,0))</f>
        <v>0</v>
      </c>
      <c r="X84" s="122">
        <f>IF(X15=Dropdowns!$F$2,X83*IF(X19=Dropdowns!$B$3,'Cost and Efficiency Data (R)'!$V$75,'Cost and Efficiency Data (R)'!$F$75)/'Conversion Constants'!$B$21,IF(X15=Dropdowns!$F$4,X83*IF(X19=Dropdowns!$B$3,'Cost and Efficiency Data (R)'!$W$75,'Cost and Efficiency Data (R)'!$G$75)/'Conversion Constants'!$B$21,0))</f>
        <v>0</v>
      </c>
      <c r="Y84" s="122">
        <f>IF(Y15=Dropdowns!$F$2,Y83*IF(Y19=Dropdowns!$B$3,'Cost and Efficiency Data (R)'!$V$75,'Cost and Efficiency Data (R)'!$F$75)/'Conversion Constants'!$B$21,IF(Y15=Dropdowns!$F$4,Y83*IF(Y19=Dropdowns!$B$3,'Cost and Efficiency Data (R)'!$W$75,'Cost and Efficiency Data (R)'!$G$75)/'Conversion Constants'!$B$21,0))</f>
        <v>0</v>
      </c>
      <c r="Z84" s="122">
        <f>IF(Z15=Dropdowns!$F$2,Z83*IF(Z19=Dropdowns!$B$3,'Cost and Efficiency Data (R)'!$V$75,'Cost and Efficiency Data (R)'!$F$75)/'Conversion Constants'!$B$21,IF(Z15=Dropdowns!$F$4,Z83*IF(Z19=Dropdowns!$B$3,'Cost and Efficiency Data (R)'!$W$75,'Cost and Efficiency Data (R)'!$G$75)/'Conversion Constants'!$B$21,0))</f>
        <v>0</v>
      </c>
      <c r="AA84" s="16"/>
      <c r="AB84" s="196"/>
    </row>
    <row r="85" spans="2:28" ht="14" outlineLevel="1" x14ac:dyDescent="0.25">
      <c r="B85" s="8"/>
      <c r="C85" s="162" t="s">
        <v>120</v>
      </c>
      <c r="D85" s="122">
        <f>IF(D12=Dropdowns!$E$3,D81/'Conversion Constants'!$B$10*'Conversion Constants'!$B$17*1000/'Conversion Constants'!$B$21/IF(D19=Dropdowns!$B$3,'Cost and Efficiency Data (R)'!$A$75,'Cost and Efficiency Data (R)'!$Q$75),0)</f>
        <v>0</v>
      </c>
      <c r="E85" s="122">
        <f>IF(E12=Dropdowns!$E$3,E81/'Conversion Constants'!$B$10*'Conversion Constants'!$B$17*1000/'Conversion Constants'!$B$21/IF(E19=Dropdowns!$B$3,'Cost and Efficiency Data (R)'!$A$75,'Cost and Efficiency Data (R)'!$Q$75),0)</f>
        <v>0</v>
      </c>
      <c r="F85" s="122">
        <f>IF(F12=Dropdowns!$E$3,F81/'Conversion Constants'!$B$10*'Conversion Constants'!$B$17*1000/'Conversion Constants'!$B$21/IF(F19=Dropdowns!$B$3,'Cost and Efficiency Data (R)'!$A$75,'Cost and Efficiency Data (R)'!$Q$75),0)</f>
        <v>0</v>
      </c>
      <c r="G85" s="122">
        <f>IF(G12=Dropdowns!$E$3,G81/'Conversion Constants'!$B$10*'Conversion Constants'!$B$17*1000/'Conversion Constants'!$B$21/IF(G19=Dropdowns!$B$3,'Cost and Efficiency Data (R)'!$A$75,'Cost and Efficiency Data (R)'!$Q$75),0)</f>
        <v>0</v>
      </c>
      <c r="H85" s="122">
        <f>IF(H12=Dropdowns!$E$3,H81/'Conversion Constants'!$B$10*'Conversion Constants'!$B$17*1000/'Conversion Constants'!$B$21/IF(H19=Dropdowns!$B$3,'Cost and Efficiency Data (R)'!$A$75,'Cost and Efficiency Data (R)'!$Q$75),0)</f>
        <v>0</v>
      </c>
      <c r="I85" s="122">
        <f>IF(I12=Dropdowns!$E$3,I81/'Conversion Constants'!$B$10*'Conversion Constants'!$B$17*1000/'Conversion Constants'!$B$21/IF(I19=Dropdowns!$B$3,'Cost and Efficiency Data (R)'!$A$75,'Cost and Efficiency Data (R)'!$Q$75),0)</f>
        <v>0</v>
      </c>
      <c r="J85" s="122">
        <f>IF(J12=Dropdowns!$E$3,J81/'Conversion Constants'!$B$10*'Conversion Constants'!$B$17*1000/'Conversion Constants'!$B$21/IF(J19=Dropdowns!$B$3,'Cost and Efficiency Data (R)'!$A$75,'Cost and Efficiency Data (R)'!$Q$75),0)</f>
        <v>0</v>
      </c>
      <c r="K85" s="16"/>
      <c r="L85" s="205" t="e">
        <f>IF(L12=Dropdowns!$E$3,L81/'Conversion Constants'!$B$10*'Conversion Constants'!$B$17*1000/'Conversion Constants'!$B$21/IF(L19=Dropdowns!$B$3,'Cost and Efficiency Data (R)'!$A$75,'Cost and Efficiency Data (R)'!$Q$75),0)</f>
        <v>#VALUE!</v>
      </c>
      <c r="M85" s="205" t="e">
        <f>IF(M12=Dropdowns!$E$3,M81/'Conversion Constants'!$B$10*'Conversion Constants'!$B$17*1000/'Conversion Constants'!$B$21/IF(M19=Dropdowns!$B$3,'Cost and Efficiency Data (R)'!$A$75,'Cost and Efficiency Data (R)'!$Q$75),0)</f>
        <v>#VALUE!</v>
      </c>
      <c r="N85" s="205" t="e">
        <f>IF(N12=Dropdowns!$E$3,N81/'Conversion Constants'!$B$10*'Conversion Constants'!$B$17*1000/'Conversion Constants'!$B$21/IF(N19=Dropdowns!$B$3,'Cost and Efficiency Data (R)'!$A$75,'Cost and Efficiency Data (R)'!$Q$75),0)</f>
        <v>#VALUE!</v>
      </c>
      <c r="O85" s="205" t="e">
        <f>IF(O12=Dropdowns!$E$3,O81/'Conversion Constants'!$B$10*'Conversion Constants'!$B$17*1000/'Conversion Constants'!$B$21/IF(O19=Dropdowns!$B$3,'Cost and Efficiency Data (R)'!$A$75,'Cost and Efficiency Data (R)'!$Q$75),0)</f>
        <v>#VALUE!</v>
      </c>
      <c r="P85" s="205" t="e">
        <f>IF(P12=Dropdowns!$E$3,P81/'Conversion Constants'!$B$10*'Conversion Constants'!$B$17*1000/'Conversion Constants'!$B$21/IF(P19=Dropdowns!$B$3,'Cost and Efficiency Data (R)'!$A$75,'Cost and Efficiency Data (R)'!$Q$75),0)</f>
        <v>#VALUE!</v>
      </c>
      <c r="Q85" s="205" t="e">
        <f>IF(Q12=Dropdowns!$E$3,Q81/'Conversion Constants'!$B$10*'Conversion Constants'!$B$17*1000/'Conversion Constants'!$B$21/IF(Q19=Dropdowns!$B$3,'Cost and Efficiency Data (R)'!$A$75,'Cost and Efficiency Data (R)'!$Q$75),0)</f>
        <v>#VALUE!</v>
      </c>
      <c r="R85" s="205" t="e">
        <f>IF(R12=Dropdowns!$E$3,R81/'Conversion Constants'!$B$10*'Conversion Constants'!$B$17*1000/'Conversion Constants'!$B$21/IF(R19=Dropdowns!$B$3,'Cost and Efficiency Data (R)'!$A$75,'Cost and Efficiency Data (R)'!$Q$75),0)</f>
        <v>#VALUE!</v>
      </c>
      <c r="T85" s="122" t="e">
        <f>IF(T12=Dropdowns!$E$3,T81/'Conversion Constants'!$B$10*'Conversion Constants'!$B$17*1000/'Conversion Constants'!$B$21/IF(T19=Dropdowns!$B$3,'Cost and Efficiency Data (R)'!$A$75,'Cost and Efficiency Data (R)'!$Q$75),0)</f>
        <v>#VALUE!</v>
      </c>
      <c r="U85" s="122" t="e">
        <f>IF(U12=Dropdowns!$E$3,U81/'Conversion Constants'!$B$10*'Conversion Constants'!$B$17*1000/'Conversion Constants'!$B$21/IF(U19=Dropdowns!$B$3,'Cost and Efficiency Data (R)'!$A$75,'Cost and Efficiency Data (R)'!$Q$75),0)</f>
        <v>#VALUE!</v>
      </c>
      <c r="V85" s="122" t="e">
        <f>IF(V12=Dropdowns!$E$3,V81/'Conversion Constants'!$B$10*'Conversion Constants'!$B$17*1000/'Conversion Constants'!$B$21/IF(V19=Dropdowns!$B$3,'Cost and Efficiency Data (R)'!$A$75,'Cost and Efficiency Data (R)'!$Q$75),0)</f>
        <v>#VALUE!</v>
      </c>
      <c r="W85" s="122" t="e">
        <f>IF(W12=Dropdowns!$E$3,W81/'Conversion Constants'!$B$10*'Conversion Constants'!$B$17*1000/'Conversion Constants'!$B$21/IF(W19=Dropdowns!$B$3,'Cost and Efficiency Data (R)'!$A$75,'Cost and Efficiency Data (R)'!$Q$75),0)</f>
        <v>#VALUE!</v>
      </c>
      <c r="X85" s="122" t="e">
        <f>IF(X12=Dropdowns!$E$3,X81/'Conversion Constants'!$B$10*'Conversion Constants'!$B$17*1000/'Conversion Constants'!$B$21/IF(X19=Dropdowns!$B$3,'Cost and Efficiency Data (R)'!$A$75,'Cost and Efficiency Data (R)'!$Q$75),0)</f>
        <v>#VALUE!</v>
      </c>
      <c r="Y85" s="122" t="e">
        <f>IF(Y12=Dropdowns!$E$3,Y81/'Conversion Constants'!$B$10*'Conversion Constants'!$B$17*1000/'Conversion Constants'!$B$21/IF(Y19=Dropdowns!$B$3,'Cost and Efficiency Data (R)'!$A$75,'Cost and Efficiency Data (R)'!$Q$75),0)</f>
        <v>#VALUE!</v>
      </c>
      <c r="Z85" s="122" t="e">
        <f>IF(Z12=Dropdowns!$E$3,Z81/'Conversion Constants'!$B$10*'Conversion Constants'!$B$17*1000/'Conversion Constants'!$B$21/IF(Z19=Dropdowns!$B$3,'Cost and Efficiency Data (R)'!$A$75,'Cost and Efficiency Data (R)'!$Q$75),0)</f>
        <v>#VALUE!</v>
      </c>
      <c r="AA85" s="16"/>
      <c r="AB85" s="196"/>
    </row>
    <row r="86" spans="2:28" ht="14" outlineLevel="1" x14ac:dyDescent="0.25">
      <c r="B86" s="8"/>
      <c r="C86" s="162" t="s">
        <v>121</v>
      </c>
      <c r="D86" s="122">
        <f>IF(D15=Dropdowns!$F$4,IF(D19=Dropdowns!$B$3,'Cost and Efficiency Data (R)'!$X$75,'Cost and Efficiency Data (R)'!$H$75)*D83/'Conversion Constants'!$B$21,0)</f>
        <v>0</v>
      </c>
      <c r="E86" s="122">
        <f>IF(E15=Dropdowns!$F$4,IF(E19=Dropdowns!$B$3,'Cost and Efficiency Data (R)'!$X$75,'Cost and Efficiency Data (R)'!$H$75)*E83/'Conversion Constants'!$B$21,0)</f>
        <v>0</v>
      </c>
      <c r="F86" s="122">
        <f>IF(F15=Dropdowns!$F$4,IF(F19=Dropdowns!$B$3,'Cost and Efficiency Data (R)'!$X$75,'Cost and Efficiency Data (R)'!$H$75)*F83/'Conversion Constants'!$B$21,0)</f>
        <v>0</v>
      </c>
      <c r="G86" s="122">
        <f>IF(G15=Dropdowns!$F$4,IF(G19=Dropdowns!$B$3,'Cost and Efficiency Data (R)'!$X$75,'Cost and Efficiency Data (R)'!$H$75)*G83/'Conversion Constants'!$B$21,0)</f>
        <v>0</v>
      </c>
      <c r="H86" s="122">
        <f>IF(H15=Dropdowns!$F$4,IF(H19=Dropdowns!$B$3,'Cost and Efficiency Data (R)'!$X$75,'Cost and Efficiency Data (R)'!$H$75)*H83/'Conversion Constants'!$B$21,0)</f>
        <v>0</v>
      </c>
      <c r="I86" s="122">
        <f>IF(I15=Dropdowns!$F$4,IF(I19=Dropdowns!$B$3,'Cost and Efficiency Data (R)'!$X$75,'Cost and Efficiency Data (R)'!$H$75)*I83/'Conversion Constants'!$B$21,0)</f>
        <v>0</v>
      </c>
      <c r="J86" s="122">
        <f>IF(J15=Dropdowns!$F$4,IF(J19=Dropdowns!$B$3,'Cost and Efficiency Data (R)'!$X$75,'Cost and Efficiency Data (R)'!$H$75)*J83/'Conversion Constants'!$B$21,0)</f>
        <v>0</v>
      </c>
      <c r="K86" s="16"/>
      <c r="L86" s="205" t="e">
        <f>IF(L15=Dropdowns!$F$4,IF(L19=Dropdowns!$B$3,'Cost and Efficiency Data (R)'!$X$75,'Cost and Efficiency Data (R)'!$H$75)*L83/'Conversion Constants'!$B$21,0)</f>
        <v>#VALUE!</v>
      </c>
      <c r="M86" s="205" t="e">
        <f>IF(M15=Dropdowns!$F$4,IF(M19=Dropdowns!$B$3,'Cost and Efficiency Data (R)'!$X$75,'Cost and Efficiency Data (R)'!$H$75)*M83/'Conversion Constants'!$B$21,0)</f>
        <v>#VALUE!</v>
      </c>
      <c r="N86" s="205" t="e">
        <f>IF(N15=Dropdowns!$F$4,IF(N19=Dropdowns!$B$3,'Cost and Efficiency Data (R)'!$X$75,'Cost and Efficiency Data (R)'!$H$75)*N83/'Conversion Constants'!$B$21,0)</f>
        <v>#VALUE!</v>
      </c>
      <c r="O86" s="205" t="e">
        <f>IF(O15=Dropdowns!$F$4,IF(O19=Dropdowns!$B$3,'Cost and Efficiency Data (R)'!$X$75,'Cost and Efficiency Data (R)'!$H$75)*O83/'Conversion Constants'!$B$21,0)</f>
        <v>#VALUE!</v>
      </c>
      <c r="P86" s="205" t="e">
        <f>IF(P15=Dropdowns!$F$4,IF(P19=Dropdowns!$B$3,'Cost and Efficiency Data (R)'!$X$75,'Cost and Efficiency Data (R)'!$H$75)*P83/'Conversion Constants'!$B$21,0)</f>
        <v>#VALUE!</v>
      </c>
      <c r="Q86" s="205" t="e">
        <f>IF(Q15=Dropdowns!$F$4,IF(Q19=Dropdowns!$B$3,'Cost and Efficiency Data (R)'!$X$75,'Cost and Efficiency Data (R)'!$H$75)*Q83/'Conversion Constants'!$B$21,0)</f>
        <v>#VALUE!</v>
      </c>
      <c r="R86" s="205" t="e">
        <f>IF(R15=Dropdowns!$F$4,IF(R19=Dropdowns!$B$3,'Cost and Efficiency Data (R)'!$X$75,'Cost and Efficiency Data (R)'!$H$75)*R83/'Conversion Constants'!$B$21,0)</f>
        <v>#VALUE!</v>
      </c>
      <c r="T86" s="122">
        <f>IF(T15=Dropdowns!$F$4,IF(T19=Dropdowns!$B$3,'Cost and Efficiency Data (R)'!$X$75,'Cost and Efficiency Data (R)'!$H$75)*T83/'Conversion Constants'!$B$21,0)</f>
        <v>0</v>
      </c>
      <c r="U86" s="122">
        <f>IF(U15=Dropdowns!$F$4,IF(U19=Dropdowns!$B$3,'Cost and Efficiency Data (R)'!$X$75,'Cost and Efficiency Data (R)'!$H$75)*U83/'Conversion Constants'!$B$21,0)</f>
        <v>0</v>
      </c>
      <c r="V86" s="122">
        <f>IF(V15=Dropdowns!$F$4,IF(V19=Dropdowns!$B$3,'Cost and Efficiency Data (R)'!$X$75,'Cost and Efficiency Data (R)'!$H$75)*V83/'Conversion Constants'!$B$21,0)</f>
        <v>0</v>
      </c>
      <c r="W86" s="122">
        <f>IF(W15=Dropdowns!$F$4,IF(W19=Dropdowns!$B$3,'Cost and Efficiency Data (R)'!$X$75,'Cost and Efficiency Data (R)'!$H$75)*W83/'Conversion Constants'!$B$21,0)</f>
        <v>0</v>
      </c>
      <c r="X86" s="122">
        <f>IF(X15=Dropdowns!$F$4,IF(X19=Dropdowns!$B$3,'Cost and Efficiency Data (R)'!$X$75,'Cost and Efficiency Data (R)'!$H$75)*X83/'Conversion Constants'!$B$21,0)</f>
        <v>0</v>
      </c>
      <c r="Y86" s="122">
        <f>IF(Y15=Dropdowns!$F$4,IF(Y19=Dropdowns!$B$3,'Cost and Efficiency Data (R)'!$X$75,'Cost and Efficiency Data (R)'!$H$75)*Y83/'Conversion Constants'!$B$21,0)</f>
        <v>0</v>
      </c>
      <c r="Z86" s="122">
        <f>IF(Z15=Dropdowns!$F$4,IF(Z19=Dropdowns!$B$3,'Cost and Efficiency Data (R)'!$X$75,'Cost and Efficiency Data (R)'!$H$75)*Z83/'Conversion Constants'!$B$21,0)</f>
        <v>0</v>
      </c>
      <c r="AA86" s="16"/>
      <c r="AB86" s="196"/>
    </row>
    <row r="87" spans="2:28" ht="23" outlineLevel="1" x14ac:dyDescent="0.25">
      <c r="B87" s="8"/>
      <c r="C87" s="162" t="s">
        <v>122</v>
      </c>
      <c r="D87" s="122">
        <v>0</v>
      </c>
      <c r="E87" s="122">
        <v>0</v>
      </c>
      <c r="F87" s="122">
        <v>0</v>
      </c>
      <c r="G87" s="122">
        <v>0</v>
      </c>
      <c r="H87" s="122">
        <v>0</v>
      </c>
      <c r="I87" s="122">
        <v>0</v>
      </c>
      <c r="J87" s="122">
        <v>0</v>
      </c>
      <c r="K87" s="16"/>
      <c r="L87" s="122">
        <v>0</v>
      </c>
      <c r="M87" s="122">
        <v>0</v>
      </c>
      <c r="N87" s="122">
        <v>0</v>
      </c>
      <c r="O87" s="122">
        <v>0</v>
      </c>
      <c r="P87" s="122">
        <v>0</v>
      </c>
      <c r="Q87" s="122">
        <v>0</v>
      </c>
      <c r="R87" s="122">
        <v>0</v>
      </c>
      <c r="T87" s="122">
        <v>0</v>
      </c>
      <c r="U87" s="122">
        <v>0</v>
      </c>
      <c r="V87" s="122">
        <v>0</v>
      </c>
      <c r="W87" s="122">
        <v>0</v>
      </c>
      <c r="X87" s="122">
        <v>0</v>
      </c>
      <c r="Y87" s="122">
        <v>0</v>
      </c>
      <c r="Z87" s="122">
        <v>0</v>
      </c>
      <c r="AA87" s="16"/>
      <c r="AB87" s="196"/>
    </row>
    <row r="88" spans="2:28" ht="14" outlineLevel="1" x14ac:dyDescent="0.25">
      <c r="B88" s="8"/>
      <c r="C88" s="162" t="s">
        <v>123</v>
      </c>
      <c r="D88" s="122">
        <f>IF(D12=Dropdowns!$E$3,D74*D85,0)</f>
        <v>0</v>
      </c>
      <c r="E88" s="122">
        <f>IF(E12=Dropdowns!$E$3,E74*E85,0)</f>
        <v>0</v>
      </c>
      <c r="F88" s="122">
        <f>IF(F12=Dropdowns!$E$3,F74*F85,0)</f>
        <v>0</v>
      </c>
      <c r="G88" s="122">
        <f>IF(G12=Dropdowns!$E$3,G74*G85,0)</f>
        <v>0</v>
      </c>
      <c r="H88" s="122">
        <f>IF(H12=Dropdowns!$E$3,H74*H85,0)</f>
        <v>0</v>
      </c>
      <c r="I88" s="122">
        <f>IF(I12=Dropdowns!$E$3,I74*I85,0)</f>
        <v>0</v>
      </c>
      <c r="J88" s="122">
        <f>IF(J12=Dropdowns!$E$3,J74*J85,0)</f>
        <v>0</v>
      </c>
      <c r="K88" s="16"/>
      <c r="L88" s="205" t="e">
        <f>IF(L12=Dropdowns!$E$3,L74*L85,0)</f>
        <v>#VALUE!</v>
      </c>
      <c r="M88" s="205" t="e">
        <f>IF(M12=Dropdowns!$E$3,M74*M85,0)</f>
        <v>#VALUE!</v>
      </c>
      <c r="N88" s="205" t="e">
        <f>IF(N12=Dropdowns!$E$3,N74*N85,0)</f>
        <v>#VALUE!</v>
      </c>
      <c r="O88" s="205" t="e">
        <f>IF(O12=Dropdowns!$E$3,O74*O85,0)</f>
        <v>#VALUE!</v>
      </c>
      <c r="P88" s="205" t="e">
        <f>IF(P12=Dropdowns!$E$3,P74*P85,0)</f>
        <v>#VALUE!</v>
      </c>
      <c r="Q88" s="205" t="e">
        <f>IF(Q12=Dropdowns!$E$3,Q74*Q85,0)</f>
        <v>#VALUE!</v>
      </c>
      <c r="R88" s="205" t="e">
        <f>IF(R12=Dropdowns!$E$3,R74*R85,0)</f>
        <v>#VALUE!</v>
      </c>
      <c r="T88" s="122" t="e">
        <f>IF(T12=Dropdowns!$E$3,T74*T85,0)</f>
        <v>#VALUE!</v>
      </c>
      <c r="U88" s="122" t="e">
        <f>IF(U12=Dropdowns!$E$3,U74*U85,0)</f>
        <v>#VALUE!</v>
      </c>
      <c r="V88" s="122" t="e">
        <f>IF(V12=Dropdowns!$E$3,V74*V85,0)</f>
        <v>#VALUE!</v>
      </c>
      <c r="W88" s="122" t="e">
        <f>IF(W12=Dropdowns!$E$3,W74*W85,0)</f>
        <v>#VALUE!</v>
      </c>
      <c r="X88" s="122" t="e">
        <f>IF(X12=Dropdowns!$E$3,X74*X85,0)</f>
        <v>#VALUE!</v>
      </c>
      <c r="Y88" s="122" t="e">
        <f>IF(Y12=Dropdowns!$E$3,Y74*Y85,0)</f>
        <v>#VALUE!</v>
      </c>
      <c r="Z88" s="122" t="e">
        <f>IF(Z12=Dropdowns!$E$3,Z74*Z85,0)</f>
        <v>#VALUE!</v>
      </c>
      <c r="AA88" s="16"/>
      <c r="AB88" s="196"/>
    </row>
    <row r="89" spans="2:28" ht="14" outlineLevel="1" x14ac:dyDescent="0.25">
      <c r="B89" s="8"/>
      <c r="C89" s="162" t="s">
        <v>124</v>
      </c>
      <c r="D89" s="122" t="e">
        <f>D87+D79</f>
        <v>#VALUE!</v>
      </c>
      <c r="E89" s="122" t="e">
        <f t="shared" ref="E89:Z89" si="28">E87+E79</f>
        <v>#VALUE!</v>
      </c>
      <c r="F89" s="122" t="e">
        <f t="shared" si="28"/>
        <v>#VALUE!</v>
      </c>
      <c r="G89" s="122" t="e">
        <f t="shared" si="28"/>
        <v>#VALUE!</v>
      </c>
      <c r="H89" s="122" t="e">
        <f t="shared" si="28"/>
        <v>#VALUE!</v>
      </c>
      <c r="I89" s="122" t="e">
        <f t="shared" si="28"/>
        <v>#VALUE!</v>
      </c>
      <c r="J89" s="122" t="e">
        <f t="shared" si="28"/>
        <v>#VALUE!</v>
      </c>
      <c r="K89" s="16"/>
      <c r="L89" s="122" t="e">
        <f t="shared" si="28"/>
        <v>#VALUE!</v>
      </c>
      <c r="M89" s="122" t="e">
        <f t="shared" si="28"/>
        <v>#VALUE!</v>
      </c>
      <c r="N89" s="122" t="e">
        <f t="shared" si="28"/>
        <v>#VALUE!</v>
      </c>
      <c r="O89" s="122" t="e">
        <f t="shared" si="28"/>
        <v>#VALUE!</v>
      </c>
      <c r="P89" s="122" t="e">
        <f t="shared" si="28"/>
        <v>#VALUE!</v>
      </c>
      <c r="Q89" s="122" t="e">
        <f t="shared" si="28"/>
        <v>#VALUE!</v>
      </c>
      <c r="R89" s="122" t="e">
        <f t="shared" si="28"/>
        <v>#VALUE!</v>
      </c>
      <c r="T89" s="122" t="e">
        <f t="shared" si="28"/>
        <v>#VALUE!</v>
      </c>
      <c r="U89" s="122" t="e">
        <f t="shared" si="28"/>
        <v>#VALUE!</v>
      </c>
      <c r="V89" s="122" t="e">
        <f t="shared" si="28"/>
        <v>#VALUE!</v>
      </c>
      <c r="W89" s="122" t="e">
        <f t="shared" si="28"/>
        <v>#VALUE!</v>
      </c>
      <c r="X89" s="122" t="e">
        <f t="shared" si="28"/>
        <v>#VALUE!</v>
      </c>
      <c r="Y89" s="122" t="e">
        <f t="shared" si="28"/>
        <v>#VALUE!</v>
      </c>
      <c r="Z89" s="122" t="e">
        <f t="shared" si="28"/>
        <v>#VALUE!</v>
      </c>
      <c r="AA89" s="16"/>
      <c r="AB89" s="196"/>
    </row>
    <row r="90" spans="2:28" ht="14" outlineLevel="1" x14ac:dyDescent="0.25">
      <c r="B90" s="8"/>
      <c r="C90" s="162" t="s">
        <v>125</v>
      </c>
      <c r="D90" s="122">
        <f>D77+D84+D86-D88</f>
        <v>3000000</v>
      </c>
      <c r="E90" s="122">
        <f t="shared" ref="E90:Z90" si="29">E77+E84+E86-E88</f>
        <v>3000000</v>
      </c>
      <c r="F90" s="122">
        <f t="shared" si="29"/>
        <v>3000000</v>
      </c>
      <c r="G90" s="122">
        <f t="shared" si="29"/>
        <v>3000000</v>
      </c>
      <c r="H90" s="122">
        <f t="shared" si="29"/>
        <v>3000000</v>
      </c>
      <c r="I90" s="122">
        <f t="shared" si="29"/>
        <v>3000000</v>
      </c>
      <c r="J90" s="122">
        <f t="shared" si="29"/>
        <v>3000000</v>
      </c>
      <c r="K90" s="16"/>
      <c r="L90" s="122" t="e">
        <f t="shared" si="29"/>
        <v>#VALUE!</v>
      </c>
      <c r="M90" s="122" t="e">
        <f t="shared" si="29"/>
        <v>#VALUE!</v>
      </c>
      <c r="N90" s="122" t="e">
        <f t="shared" si="29"/>
        <v>#VALUE!</v>
      </c>
      <c r="O90" s="122" t="e">
        <f t="shared" si="29"/>
        <v>#VALUE!</v>
      </c>
      <c r="P90" s="122" t="e">
        <f t="shared" si="29"/>
        <v>#VALUE!</v>
      </c>
      <c r="Q90" s="122" t="e">
        <f t="shared" si="29"/>
        <v>#VALUE!</v>
      </c>
      <c r="R90" s="122" t="e">
        <f t="shared" si="29"/>
        <v>#VALUE!</v>
      </c>
      <c r="T90" s="122" t="e">
        <f t="shared" si="29"/>
        <v>#VALUE!</v>
      </c>
      <c r="U90" s="122" t="e">
        <f t="shared" si="29"/>
        <v>#VALUE!</v>
      </c>
      <c r="V90" s="122" t="e">
        <f t="shared" si="29"/>
        <v>#VALUE!</v>
      </c>
      <c r="W90" s="122" t="e">
        <f t="shared" si="29"/>
        <v>#VALUE!</v>
      </c>
      <c r="X90" s="122" t="e">
        <f t="shared" si="29"/>
        <v>#VALUE!</v>
      </c>
      <c r="Y90" s="122" t="e">
        <f t="shared" si="29"/>
        <v>#VALUE!</v>
      </c>
      <c r="Z90" s="122" t="e">
        <f t="shared" si="29"/>
        <v>#VALUE!</v>
      </c>
      <c r="AA90" s="16"/>
      <c r="AB90" s="196"/>
    </row>
    <row r="91" spans="2:28" ht="14" outlineLevel="1" x14ac:dyDescent="0.25">
      <c r="B91" s="8"/>
      <c r="C91" s="162" t="s">
        <v>126</v>
      </c>
      <c r="D91" s="122" t="e">
        <f>D77+D79+D84+D86+D87-D88</f>
        <v>#VALUE!</v>
      </c>
      <c r="E91" s="122" t="e">
        <f t="shared" ref="E91:Z91" si="30">E77+E79+E84+E86+E87-E88</f>
        <v>#VALUE!</v>
      </c>
      <c r="F91" s="122" t="e">
        <f t="shared" si="30"/>
        <v>#VALUE!</v>
      </c>
      <c r="G91" s="122" t="e">
        <f t="shared" si="30"/>
        <v>#VALUE!</v>
      </c>
      <c r="H91" s="122" t="e">
        <f t="shared" si="30"/>
        <v>#VALUE!</v>
      </c>
      <c r="I91" s="122" t="e">
        <f t="shared" si="30"/>
        <v>#VALUE!</v>
      </c>
      <c r="J91" s="122" t="e">
        <f t="shared" si="30"/>
        <v>#VALUE!</v>
      </c>
      <c r="K91" s="16"/>
      <c r="L91" s="122" t="e">
        <f t="shared" si="30"/>
        <v>#VALUE!</v>
      </c>
      <c r="M91" s="122" t="e">
        <f t="shared" si="30"/>
        <v>#VALUE!</v>
      </c>
      <c r="N91" s="122" t="e">
        <f t="shared" si="30"/>
        <v>#VALUE!</v>
      </c>
      <c r="O91" s="122" t="e">
        <f t="shared" si="30"/>
        <v>#VALUE!</v>
      </c>
      <c r="P91" s="122" t="e">
        <f t="shared" si="30"/>
        <v>#VALUE!</v>
      </c>
      <c r="Q91" s="122" t="e">
        <f t="shared" si="30"/>
        <v>#VALUE!</v>
      </c>
      <c r="R91" s="122" t="e">
        <f t="shared" si="30"/>
        <v>#VALUE!</v>
      </c>
      <c r="T91" s="122" t="e">
        <f t="shared" si="30"/>
        <v>#VALUE!</v>
      </c>
      <c r="U91" s="122" t="e">
        <f t="shared" si="30"/>
        <v>#VALUE!</v>
      </c>
      <c r="V91" s="122" t="e">
        <f t="shared" si="30"/>
        <v>#VALUE!</v>
      </c>
      <c r="W91" s="122" t="e">
        <f t="shared" si="30"/>
        <v>#VALUE!</v>
      </c>
      <c r="X91" s="122" t="e">
        <f t="shared" si="30"/>
        <v>#VALUE!</v>
      </c>
      <c r="Y91" s="122" t="e">
        <f t="shared" si="30"/>
        <v>#VALUE!</v>
      </c>
      <c r="Z91" s="122" t="e">
        <f t="shared" si="30"/>
        <v>#VALUE!</v>
      </c>
      <c r="AA91" s="16"/>
      <c r="AB91" s="196"/>
    </row>
    <row r="92" spans="2:28" ht="14" outlineLevel="1" x14ac:dyDescent="0.25">
      <c r="B92" s="8"/>
      <c r="C92" s="162" t="s">
        <v>127</v>
      </c>
      <c r="D92" s="122" t="e">
        <f>IF(D12=Dropdowns!$E$2,D78,D82)</f>
        <v>#VALUE!</v>
      </c>
      <c r="E92" s="122" t="e">
        <f>IF(E12=Dropdowns!$E$2,E78,E82)</f>
        <v>#VALUE!</v>
      </c>
      <c r="F92" s="122" t="e">
        <f>IF(F12=Dropdowns!$E$2,F78,F82)</f>
        <v>#VALUE!</v>
      </c>
      <c r="G92" s="122" t="e">
        <f>IF(G12=Dropdowns!$E$2,G78,G82)</f>
        <v>#VALUE!</v>
      </c>
      <c r="H92" s="122" t="e">
        <f>IF(H12=Dropdowns!$E$2,H78,H82)</f>
        <v>#VALUE!</v>
      </c>
      <c r="I92" s="122" t="e">
        <f>IF(I12=Dropdowns!$E$2,I78,I82)</f>
        <v>#VALUE!</v>
      </c>
      <c r="J92" s="122" t="e">
        <f>IF(J12=Dropdowns!$E$2,J78,J82)</f>
        <v>#VALUE!</v>
      </c>
      <c r="K92" s="16"/>
      <c r="L92" s="122" t="e">
        <f>IF(L12=Dropdowns!$E$2,L78,L82)</f>
        <v>#VALUE!</v>
      </c>
      <c r="M92" s="122" t="e">
        <f>IF(M12=Dropdowns!$E$2,M78,M82)</f>
        <v>#VALUE!</v>
      </c>
      <c r="N92" s="122" t="e">
        <f>IF(N12=Dropdowns!$E$2,N78,N82)</f>
        <v>#VALUE!</v>
      </c>
      <c r="O92" s="122" t="e">
        <f>IF(O12=Dropdowns!$E$2,O78,O82)</f>
        <v>#VALUE!</v>
      </c>
      <c r="P92" s="122" t="e">
        <f>IF(P12=Dropdowns!$E$2,P78,P82)</f>
        <v>#VALUE!</v>
      </c>
      <c r="Q92" s="122" t="e">
        <f>IF(Q12=Dropdowns!$E$2,Q78,Q82)</f>
        <v>#VALUE!</v>
      </c>
      <c r="R92" s="122" t="e">
        <f>IF(R12=Dropdowns!$E$2,R78,R82)</f>
        <v>#VALUE!</v>
      </c>
      <c r="T92" s="122" t="e">
        <f>IF(T12=Dropdowns!$E$2,T78,T82)</f>
        <v>#VALUE!</v>
      </c>
      <c r="U92" s="122" t="e">
        <f>IF(U12=Dropdowns!$E$2,U78,U82)</f>
        <v>#VALUE!</v>
      </c>
      <c r="V92" s="122" t="e">
        <f>IF(V12=Dropdowns!$E$2,V78,V82)</f>
        <v>#VALUE!</v>
      </c>
      <c r="W92" s="122" t="e">
        <f>IF(W12=Dropdowns!$E$2,W78,W82)</f>
        <v>#VALUE!</v>
      </c>
      <c r="X92" s="122" t="e">
        <f>IF(X12=Dropdowns!$E$2,X78,X82)</f>
        <v>#VALUE!</v>
      </c>
      <c r="Y92" s="122" t="e">
        <f>IF(Y12=Dropdowns!$E$2,Y78,Y82)</f>
        <v>#VALUE!</v>
      </c>
      <c r="Z92" s="122" t="e">
        <f>IF(Z12=Dropdowns!$E$2,Z78,Z82)</f>
        <v>#VALUE!</v>
      </c>
      <c r="AA92" s="16"/>
      <c r="AB92" s="196"/>
    </row>
    <row r="93" spans="2:28" ht="14" outlineLevel="1" x14ac:dyDescent="0.25">
      <c r="B93" s="8"/>
      <c r="C93" s="162" t="s">
        <v>128</v>
      </c>
      <c r="D93" s="122" t="e">
        <f>D77*D65</f>
        <v>#VALUE!</v>
      </c>
      <c r="E93" s="122" t="e">
        <f t="shared" ref="E93:Z93" si="31">E77*E65</f>
        <v>#VALUE!</v>
      </c>
      <c r="F93" s="122" t="e">
        <f t="shared" si="31"/>
        <v>#VALUE!</v>
      </c>
      <c r="G93" s="122" t="e">
        <f t="shared" si="31"/>
        <v>#VALUE!</v>
      </c>
      <c r="H93" s="122" t="e">
        <f t="shared" si="31"/>
        <v>#VALUE!</v>
      </c>
      <c r="I93" s="122" t="e">
        <f t="shared" si="31"/>
        <v>#VALUE!</v>
      </c>
      <c r="J93" s="122" t="e">
        <f t="shared" si="31"/>
        <v>#VALUE!</v>
      </c>
      <c r="K93" s="16"/>
      <c r="L93" s="122" t="e">
        <f t="shared" si="31"/>
        <v>#VALUE!</v>
      </c>
      <c r="M93" s="122" t="e">
        <f t="shared" si="31"/>
        <v>#VALUE!</v>
      </c>
      <c r="N93" s="122" t="e">
        <f t="shared" si="31"/>
        <v>#VALUE!</v>
      </c>
      <c r="O93" s="122" t="e">
        <f t="shared" si="31"/>
        <v>#VALUE!</v>
      </c>
      <c r="P93" s="122" t="e">
        <f t="shared" si="31"/>
        <v>#VALUE!</v>
      </c>
      <c r="Q93" s="122" t="e">
        <f t="shared" si="31"/>
        <v>#VALUE!</v>
      </c>
      <c r="R93" s="122" t="e">
        <f t="shared" si="31"/>
        <v>#VALUE!</v>
      </c>
      <c r="T93" s="122" t="e">
        <f t="shared" si="31"/>
        <v>#VALUE!</v>
      </c>
      <c r="U93" s="122" t="e">
        <f t="shared" si="31"/>
        <v>#VALUE!</v>
      </c>
      <c r="V93" s="122" t="e">
        <f t="shared" si="31"/>
        <v>#VALUE!</v>
      </c>
      <c r="W93" s="122" t="e">
        <f t="shared" si="31"/>
        <v>#VALUE!</v>
      </c>
      <c r="X93" s="122" t="e">
        <f t="shared" si="31"/>
        <v>#VALUE!</v>
      </c>
      <c r="Y93" s="122" t="e">
        <f t="shared" si="31"/>
        <v>#VALUE!</v>
      </c>
      <c r="Z93" s="122" t="e">
        <f t="shared" si="31"/>
        <v>#VALUE!</v>
      </c>
      <c r="AA93" s="16"/>
      <c r="AB93" s="196"/>
    </row>
    <row r="94" spans="2:28" ht="14" outlineLevel="1" x14ac:dyDescent="0.25">
      <c r="B94" s="8"/>
      <c r="C94" s="162" t="s">
        <v>129</v>
      </c>
      <c r="D94" s="122">
        <f t="shared" ref="D94:J94" si="32">D83/1000*D66</f>
        <v>0</v>
      </c>
      <c r="E94" s="122">
        <f t="shared" si="32"/>
        <v>0</v>
      </c>
      <c r="F94" s="122">
        <f t="shared" si="32"/>
        <v>0</v>
      </c>
      <c r="G94" s="122">
        <f t="shared" si="32"/>
        <v>0</v>
      </c>
      <c r="H94" s="122">
        <f t="shared" si="32"/>
        <v>0</v>
      </c>
      <c r="I94" s="122">
        <f t="shared" si="32"/>
        <v>0</v>
      </c>
      <c r="J94" s="122">
        <f t="shared" si="32"/>
        <v>0</v>
      </c>
      <c r="K94" s="16"/>
      <c r="L94" s="205" t="e">
        <f t="shared" ref="L94:R94" si="33">L83/1000*L66</f>
        <v>#VALUE!</v>
      </c>
      <c r="M94" s="205" t="e">
        <f t="shared" si="33"/>
        <v>#VALUE!</v>
      </c>
      <c r="N94" s="205" t="e">
        <f t="shared" si="33"/>
        <v>#VALUE!</v>
      </c>
      <c r="O94" s="205" t="e">
        <f t="shared" si="33"/>
        <v>#VALUE!</v>
      </c>
      <c r="P94" s="205" t="e">
        <f t="shared" si="33"/>
        <v>#VALUE!</v>
      </c>
      <c r="Q94" s="205" t="e">
        <f t="shared" si="33"/>
        <v>#VALUE!</v>
      </c>
      <c r="R94" s="205" t="e">
        <f t="shared" si="33"/>
        <v>#VALUE!</v>
      </c>
      <c r="T94" s="122" t="e">
        <f t="shared" ref="T94:Z94" si="34">T83/1000*T66</f>
        <v>#VALUE!</v>
      </c>
      <c r="U94" s="122" t="e">
        <f t="shared" si="34"/>
        <v>#VALUE!</v>
      </c>
      <c r="V94" s="122" t="e">
        <f t="shared" si="34"/>
        <v>#VALUE!</v>
      </c>
      <c r="W94" s="122" t="e">
        <f t="shared" si="34"/>
        <v>#VALUE!</v>
      </c>
      <c r="X94" s="122" t="e">
        <f t="shared" si="34"/>
        <v>#VALUE!</v>
      </c>
      <c r="Y94" s="122" t="e">
        <f t="shared" si="34"/>
        <v>#VALUE!</v>
      </c>
      <c r="Z94" s="122" t="e">
        <f t="shared" si="34"/>
        <v>#VALUE!</v>
      </c>
      <c r="AA94" s="16"/>
      <c r="AB94" s="196"/>
    </row>
    <row r="95" spans="2:28" ht="14" outlineLevel="1" x14ac:dyDescent="0.25">
      <c r="B95" s="8"/>
      <c r="C95" s="162" t="s">
        <v>130</v>
      </c>
      <c r="D95" s="122">
        <f t="shared" ref="D95:J95" si="35">D$82*D67</f>
        <v>0</v>
      </c>
      <c r="E95" s="122">
        <f t="shared" si="35"/>
        <v>0</v>
      </c>
      <c r="F95" s="122">
        <f t="shared" si="35"/>
        <v>0</v>
      </c>
      <c r="G95" s="122">
        <f t="shared" si="35"/>
        <v>0</v>
      </c>
      <c r="H95" s="122">
        <f t="shared" si="35"/>
        <v>0</v>
      </c>
      <c r="I95" s="122">
        <f t="shared" si="35"/>
        <v>0</v>
      </c>
      <c r="J95" s="122">
        <f t="shared" si="35"/>
        <v>0</v>
      </c>
      <c r="K95" s="16"/>
      <c r="L95" s="205" t="e">
        <f t="shared" ref="L95:R95" si="36">L$82*L67</f>
        <v>#VALUE!</v>
      </c>
      <c r="M95" s="205" t="e">
        <f t="shared" si="36"/>
        <v>#VALUE!</v>
      </c>
      <c r="N95" s="205" t="e">
        <f t="shared" si="36"/>
        <v>#VALUE!</v>
      </c>
      <c r="O95" s="205" t="e">
        <f t="shared" si="36"/>
        <v>#VALUE!</v>
      </c>
      <c r="P95" s="205" t="e">
        <f t="shared" si="36"/>
        <v>#VALUE!</v>
      </c>
      <c r="Q95" s="205" t="e">
        <f t="shared" si="36"/>
        <v>#VALUE!</v>
      </c>
      <c r="R95" s="205" t="e">
        <f t="shared" si="36"/>
        <v>#VALUE!</v>
      </c>
      <c r="T95" s="122" t="e">
        <f t="shared" ref="T95:Z95" si="37">T$82*T67</f>
        <v>#VALUE!</v>
      </c>
      <c r="U95" s="122" t="e">
        <f t="shared" si="37"/>
        <v>#VALUE!</v>
      </c>
      <c r="V95" s="122" t="e">
        <f t="shared" si="37"/>
        <v>#VALUE!</v>
      </c>
      <c r="W95" s="122" t="e">
        <f t="shared" si="37"/>
        <v>#VALUE!</v>
      </c>
      <c r="X95" s="122" t="e">
        <f t="shared" si="37"/>
        <v>#VALUE!</v>
      </c>
      <c r="Y95" s="122" t="e">
        <f t="shared" si="37"/>
        <v>#VALUE!</v>
      </c>
      <c r="Z95" s="122" t="e">
        <f t="shared" si="37"/>
        <v>#VALUE!</v>
      </c>
      <c r="AA95" s="16"/>
      <c r="AB95" s="196"/>
    </row>
    <row r="96" spans="2:28" ht="14" outlineLevel="1" x14ac:dyDescent="0.25">
      <c r="B96" s="8"/>
      <c r="C96" s="162" t="s">
        <v>131</v>
      </c>
      <c r="D96" s="122">
        <f t="shared" ref="D96:J96" si="38">D70*D88</f>
        <v>0</v>
      </c>
      <c r="E96" s="122">
        <f t="shared" si="38"/>
        <v>0</v>
      </c>
      <c r="F96" s="122">
        <f t="shared" si="38"/>
        <v>0</v>
      </c>
      <c r="G96" s="122">
        <f t="shared" si="38"/>
        <v>0</v>
      </c>
      <c r="H96" s="122">
        <f t="shared" si="38"/>
        <v>0</v>
      </c>
      <c r="I96" s="122">
        <f t="shared" si="38"/>
        <v>0</v>
      </c>
      <c r="J96" s="122">
        <f t="shared" si="38"/>
        <v>0</v>
      </c>
      <c r="K96" s="16"/>
      <c r="L96" s="205" t="e">
        <f t="shared" ref="L96:R96" si="39">L70*L88</f>
        <v>#VALUE!</v>
      </c>
      <c r="M96" s="205" t="e">
        <f t="shared" si="39"/>
        <v>#VALUE!</v>
      </c>
      <c r="N96" s="205" t="e">
        <f t="shared" si="39"/>
        <v>#VALUE!</v>
      </c>
      <c r="O96" s="205" t="e">
        <f t="shared" si="39"/>
        <v>#VALUE!</v>
      </c>
      <c r="P96" s="205" t="e">
        <f t="shared" si="39"/>
        <v>#VALUE!</v>
      </c>
      <c r="Q96" s="205" t="e">
        <f t="shared" si="39"/>
        <v>#VALUE!</v>
      </c>
      <c r="R96" s="205" t="e">
        <f t="shared" si="39"/>
        <v>#VALUE!</v>
      </c>
      <c r="T96" s="122" t="e">
        <f t="shared" ref="T96:Z96" si="40">T70*T88</f>
        <v>#VALUE!</v>
      </c>
      <c r="U96" s="122" t="e">
        <f t="shared" si="40"/>
        <v>#VALUE!</v>
      </c>
      <c r="V96" s="122" t="e">
        <f t="shared" si="40"/>
        <v>#VALUE!</v>
      </c>
      <c r="W96" s="122" t="e">
        <f t="shared" si="40"/>
        <v>#VALUE!</v>
      </c>
      <c r="X96" s="122" t="e">
        <f t="shared" si="40"/>
        <v>#VALUE!</v>
      </c>
      <c r="Y96" s="122" t="e">
        <f t="shared" si="40"/>
        <v>#VALUE!</v>
      </c>
      <c r="Z96" s="122" t="e">
        <f t="shared" si="40"/>
        <v>#VALUE!</v>
      </c>
      <c r="AA96" s="16"/>
      <c r="AB96" s="196"/>
    </row>
    <row r="97" spans="1:28" ht="14" outlineLevel="1" x14ac:dyDescent="0.25">
      <c r="B97" s="8"/>
      <c r="C97" s="162" t="s">
        <v>132</v>
      </c>
      <c r="D97" s="122" cm="1">
        <f t="array" ref="D97">IF(D12=Dropdowns!$E$2,SUMPRODUCT('Cost and Efficiency Data (R)'!$B$42:$AE$49*('Cost and Efficiency Data (R)'!$B$40:$AE$40="Pipeline Blending")*(Pathways!D18='Cost and Efficiency Data (R)'!$B$41:$AE$41)*('Cost and Efficiency Data (R)'!$A$42:$A$49=Pathways!D11)),0)</f>
        <v>660000</v>
      </c>
      <c r="E97" s="122" cm="1">
        <f t="array" ref="E97">IF(E12=Dropdowns!$E$2,SUMPRODUCT('Cost and Efficiency Data (R)'!$B$42:$AE$49*('Cost and Efficiency Data (R)'!$B$40:$AE$40="Pipeline Blending")*(Pathways!E18='Cost and Efficiency Data (R)'!$B$41:$AE$41)*('Cost and Efficiency Data (R)'!$A$42:$A$49=Pathways!E11)),0)</f>
        <v>660000</v>
      </c>
      <c r="F97" s="122" cm="1">
        <f t="array" ref="F97">IF(F12=Dropdowns!$E$2,SUMPRODUCT('Cost and Efficiency Data (R)'!$B$42:$AE$49*('Cost and Efficiency Data (R)'!$B$40:$AE$40="Pipeline Blending")*(Pathways!F18='Cost and Efficiency Data (R)'!$B$41:$AE$41)*('Cost and Efficiency Data (R)'!$A$42:$A$49=Pathways!F11)),0)</f>
        <v>660000</v>
      </c>
      <c r="G97" s="122" cm="1">
        <f t="array" ref="G97">IF(G12=Dropdowns!$E$2,SUMPRODUCT('Cost and Efficiency Data (R)'!$B$42:$AE$49*('Cost and Efficiency Data (R)'!$B$40:$AE$40="Pipeline Blending")*(Pathways!G18='Cost and Efficiency Data (R)'!$B$41:$AE$41)*('Cost and Efficiency Data (R)'!$A$42:$A$49=Pathways!G11)),0)</f>
        <v>660000</v>
      </c>
      <c r="H97" s="122" cm="1">
        <f t="array" ref="H97">IF(H12=Dropdowns!$E$2,SUMPRODUCT('Cost and Efficiency Data (R)'!$B$42:$AE$49*('Cost and Efficiency Data (R)'!$B$40:$AE$40="Pipeline Blending")*(Pathways!H18='Cost and Efficiency Data (R)'!$B$41:$AE$41)*('Cost and Efficiency Data (R)'!$A$42:$A$49=Pathways!H11)),0)</f>
        <v>660000</v>
      </c>
      <c r="I97" s="122" cm="1">
        <f t="array" ref="I97">IF(I12=Dropdowns!$E$2,SUMPRODUCT('Cost and Efficiency Data (R)'!$B$42:$AE$49*('Cost and Efficiency Data (R)'!$B$40:$AE$40="Pipeline Blending")*(Pathways!I18='Cost and Efficiency Data (R)'!$B$41:$AE$41)*('Cost and Efficiency Data (R)'!$A$42:$A$49=Pathways!I11)),0)</f>
        <v>660000</v>
      </c>
      <c r="J97" s="122" cm="1">
        <f t="array" ref="J97">IF(J12=Dropdowns!$E$2,SUMPRODUCT('Cost and Efficiency Data (R)'!$B$42:$AE$49*('Cost and Efficiency Data (R)'!$B$40:$AE$40="Pipeline Blending")*(Pathways!J18='Cost and Efficiency Data (R)'!$B$41:$AE$41)*('Cost and Efficiency Data (R)'!$A$42:$A$49=Pathways!J11)),0)</f>
        <v>660000</v>
      </c>
      <c r="K97" s="16"/>
      <c r="L97" s="205" cm="1">
        <f t="array" ref="L97">IF(L12=Dropdowns!$E$2,SUMPRODUCT('Cost and Efficiency Data (R)'!$B$42:$AE$49*('Cost and Efficiency Data (R)'!$B$40:$AE$40="Pipeline Blending")*(Pathways!L18='Cost and Efficiency Data (R)'!$B$41:$AE$41)*('Cost and Efficiency Data (R)'!$A$42:$A$49=Pathways!L11)),0)</f>
        <v>0</v>
      </c>
      <c r="M97" s="205" cm="1">
        <f t="array" ref="M97">IF(M12=Dropdowns!$E$2,SUMPRODUCT('Cost and Efficiency Data (R)'!$B$42:$AE$49*('Cost and Efficiency Data (R)'!$B$40:$AE$40="Pipeline Blending")*(Pathways!M18='Cost and Efficiency Data (R)'!$B$41:$AE$41)*('Cost and Efficiency Data (R)'!$A$42:$A$49=Pathways!M11)),0)</f>
        <v>0</v>
      </c>
      <c r="N97" s="205" cm="1">
        <f t="array" ref="N97">IF(N12=Dropdowns!$E$2,SUMPRODUCT('Cost and Efficiency Data (R)'!$B$42:$AE$49*('Cost and Efficiency Data (R)'!$B$40:$AE$40="Pipeline Blending")*(Pathways!N18='Cost and Efficiency Data (R)'!$B$41:$AE$41)*('Cost and Efficiency Data (R)'!$A$42:$A$49=Pathways!N11)),0)</f>
        <v>0</v>
      </c>
      <c r="O97" s="205" cm="1">
        <f t="array" ref="O97">IF(O12=Dropdowns!$E$2,SUMPRODUCT('Cost and Efficiency Data (R)'!$B$42:$AE$49*('Cost and Efficiency Data (R)'!$B$40:$AE$40="Pipeline Blending")*(Pathways!O18='Cost and Efficiency Data (R)'!$B$41:$AE$41)*('Cost and Efficiency Data (R)'!$A$42:$A$49=Pathways!O11)),0)</f>
        <v>0</v>
      </c>
      <c r="P97" s="205" cm="1">
        <f t="array" ref="P97">IF(P12=Dropdowns!$E$2,SUMPRODUCT('Cost and Efficiency Data (R)'!$B$42:$AE$49*('Cost and Efficiency Data (R)'!$B$40:$AE$40="Pipeline Blending")*(Pathways!P18='Cost and Efficiency Data (R)'!$B$41:$AE$41)*('Cost and Efficiency Data (R)'!$A$42:$A$49=Pathways!P11)),0)</f>
        <v>0</v>
      </c>
      <c r="Q97" s="205" cm="1">
        <f t="array" ref="Q97">IF(Q12=Dropdowns!$E$2,SUMPRODUCT('Cost and Efficiency Data (R)'!$B$42:$AE$49*('Cost and Efficiency Data (R)'!$B$40:$AE$40="Pipeline Blending")*(Pathways!Q18='Cost and Efficiency Data (R)'!$B$41:$AE$41)*('Cost and Efficiency Data (R)'!$A$42:$A$49=Pathways!Q11)),0)</f>
        <v>0</v>
      </c>
      <c r="R97" s="205" cm="1">
        <f t="array" ref="R97">IF(R12=Dropdowns!$E$2,SUMPRODUCT('Cost and Efficiency Data (R)'!$B$42:$AE$49*('Cost and Efficiency Data (R)'!$B$40:$AE$40="Pipeline Blending")*(Pathways!R18='Cost and Efficiency Data (R)'!$B$41:$AE$41)*('Cost and Efficiency Data (R)'!$A$42:$A$49=Pathways!R11)),0)</f>
        <v>0</v>
      </c>
      <c r="T97" s="122" cm="1">
        <f t="array" ref="T97">IF(T12=Dropdowns!$E$2,SUMPRODUCT('Cost and Efficiency Data (R)'!$B$42:$AE$49*('Cost and Efficiency Data (R)'!$B$40:$AE$40="Pipeline Blending")*(Pathways!T18='Cost and Efficiency Data (R)'!$B$41:$AE$41)*('Cost and Efficiency Data (R)'!$A$42:$A$49=Pathways!T11)),0)</f>
        <v>0</v>
      </c>
      <c r="U97" s="122" cm="1">
        <f t="array" ref="U97">IF(U12=Dropdowns!$E$2,SUMPRODUCT('Cost and Efficiency Data (R)'!$B$42:$AE$49*('Cost and Efficiency Data (R)'!$B$40:$AE$40="Pipeline Blending")*(Pathways!U18='Cost and Efficiency Data (R)'!$B$41:$AE$41)*('Cost and Efficiency Data (R)'!$A$42:$A$49=Pathways!U11)),0)</f>
        <v>0</v>
      </c>
      <c r="V97" s="122" cm="1">
        <f t="array" ref="V97">IF(V12=Dropdowns!$E$2,SUMPRODUCT('Cost and Efficiency Data (R)'!$B$42:$AE$49*('Cost and Efficiency Data (R)'!$B$40:$AE$40="Pipeline Blending")*(Pathways!V18='Cost and Efficiency Data (R)'!$B$41:$AE$41)*('Cost and Efficiency Data (R)'!$A$42:$A$49=Pathways!V11)),0)</f>
        <v>0</v>
      </c>
      <c r="W97" s="122" cm="1">
        <f t="array" ref="W97">IF(W12=Dropdowns!$E$2,SUMPRODUCT('Cost and Efficiency Data (R)'!$B$42:$AE$49*('Cost and Efficiency Data (R)'!$B$40:$AE$40="Pipeline Blending")*(Pathways!W18='Cost and Efficiency Data (R)'!$B$41:$AE$41)*('Cost and Efficiency Data (R)'!$A$42:$A$49=Pathways!W11)),0)</f>
        <v>0</v>
      </c>
      <c r="X97" s="122" cm="1">
        <f t="array" ref="X97">IF(X12=Dropdowns!$E$2,SUMPRODUCT('Cost and Efficiency Data (R)'!$B$42:$AE$49*('Cost and Efficiency Data (R)'!$B$40:$AE$40="Pipeline Blending")*(Pathways!X18='Cost and Efficiency Data (R)'!$B$41:$AE$41)*('Cost and Efficiency Data (R)'!$A$42:$A$49=Pathways!X11)),0)</f>
        <v>0</v>
      </c>
      <c r="Y97" s="122" cm="1">
        <f t="array" ref="Y97">IF(Y12=Dropdowns!$E$2,SUMPRODUCT('Cost and Efficiency Data (R)'!$B$42:$AE$49*('Cost and Efficiency Data (R)'!$B$40:$AE$40="Pipeline Blending")*(Pathways!Y18='Cost and Efficiency Data (R)'!$B$41:$AE$41)*('Cost and Efficiency Data (R)'!$A$42:$A$49=Pathways!Y11)),0)</f>
        <v>0</v>
      </c>
      <c r="Z97" s="122" cm="1">
        <f t="array" ref="Z97">IF(Z12=Dropdowns!$E$2,SUMPRODUCT('Cost and Efficiency Data (R)'!$B$42:$AE$49*('Cost and Efficiency Data (R)'!$B$40:$AE$40="Pipeline Blending")*(Pathways!Z18='Cost and Efficiency Data (R)'!$B$41:$AE$41)*('Cost and Efficiency Data (R)'!$A$42:$A$49=Pathways!Z11)),0)</f>
        <v>0</v>
      </c>
      <c r="AA97" s="16"/>
      <c r="AB97" s="196"/>
    </row>
    <row r="98" spans="1:28" ht="14" outlineLevel="1" x14ac:dyDescent="0.25">
      <c r="B98" s="8"/>
      <c r="C98" s="162" t="s">
        <v>133</v>
      </c>
      <c r="D98" s="122" cm="1">
        <f t="array" ref="D98">IF(D12&lt;&gt;Dropdowns!$E$4,SUMPRODUCT('Cost and Efficiency Data (R)'!$B$42:$AE$49*('Cost and Efficiency Data (R)'!$B$40:$AE$40="Pipeline Interconnection")*(Pathways!D18='Cost and Efficiency Data (R)'!$B$41:$AE$41)*('Cost and Efficiency Data (R)'!$A$42:$A$49=Pathways!D11)),0)</f>
        <v>4100000</v>
      </c>
      <c r="E98" s="122" cm="1">
        <f t="array" ref="E98">IF(E12&lt;&gt;Dropdowns!$E$4,SUMPRODUCT('Cost and Efficiency Data (R)'!$B$42:$AE$49*('Cost and Efficiency Data (R)'!$B$40:$AE$40="Pipeline Interconnection")*(Pathways!E18='Cost and Efficiency Data (R)'!$B$41:$AE$41)*('Cost and Efficiency Data (R)'!$A$42:$A$49=Pathways!E11)),0)</f>
        <v>4100000</v>
      </c>
      <c r="F98" s="122" cm="1">
        <f t="array" ref="F98">IF(F12&lt;&gt;Dropdowns!$E$4,SUMPRODUCT('Cost and Efficiency Data (R)'!$B$42:$AE$49*('Cost and Efficiency Data (R)'!$B$40:$AE$40="Pipeline Interconnection")*(Pathways!F18='Cost and Efficiency Data (R)'!$B$41:$AE$41)*('Cost and Efficiency Data (R)'!$A$42:$A$49=Pathways!F11)),0)</f>
        <v>4100000</v>
      </c>
      <c r="G98" s="122" cm="1">
        <f t="array" ref="G98">IF(G12&lt;&gt;Dropdowns!$E$4,SUMPRODUCT('Cost and Efficiency Data (R)'!$B$42:$AE$49*('Cost and Efficiency Data (R)'!$B$40:$AE$40="Pipeline Interconnection")*(Pathways!G18='Cost and Efficiency Data (R)'!$B$41:$AE$41)*('Cost and Efficiency Data (R)'!$A$42:$A$49=Pathways!G11)),0)</f>
        <v>4100000</v>
      </c>
      <c r="H98" s="122" cm="1">
        <f t="array" ref="H98">IF(H12&lt;&gt;Dropdowns!$E$4,SUMPRODUCT('Cost and Efficiency Data (R)'!$B$42:$AE$49*('Cost and Efficiency Data (R)'!$B$40:$AE$40="Pipeline Interconnection")*(Pathways!H18='Cost and Efficiency Data (R)'!$B$41:$AE$41)*('Cost and Efficiency Data (R)'!$A$42:$A$49=Pathways!H11)),0)</f>
        <v>4100000</v>
      </c>
      <c r="I98" s="122" cm="1">
        <f t="array" ref="I98">IF(I12&lt;&gt;Dropdowns!$E$4,SUMPRODUCT('Cost and Efficiency Data (R)'!$B$42:$AE$49*('Cost and Efficiency Data (R)'!$B$40:$AE$40="Pipeline Interconnection")*(Pathways!I18='Cost and Efficiency Data (R)'!$B$41:$AE$41)*('Cost and Efficiency Data (R)'!$A$42:$A$49=Pathways!I11)),0)</f>
        <v>4100000</v>
      </c>
      <c r="J98" s="122" cm="1">
        <f t="array" ref="J98">IF(J12&lt;&gt;Dropdowns!$E$4,SUMPRODUCT('Cost and Efficiency Data (R)'!$B$42:$AE$49*('Cost and Efficiency Data (R)'!$B$40:$AE$40="Pipeline Interconnection")*(Pathways!J18='Cost and Efficiency Data (R)'!$B$41:$AE$41)*('Cost and Efficiency Data (R)'!$A$42:$A$49=Pathways!J11)),0)</f>
        <v>4100000</v>
      </c>
      <c r="K98" s="16"/>
      <c r="L98" s="122" cm="1">
        <f t="array" ref="L98">IF(L12&lt;&gt;Dropdowns!$E$4,SUMPRODUCT('Cost and Efficiency Data (R)'!$B$42:$AE$49*('Cost and Efficiency Data (R)'!$B$40:$AE$40="Pipeline Interconnection")*(Pathways!L18='Cost and Efficiency Data (R)'!$B$41:$AE$41)*('Cost and Efficiency Data (R)'!$A$42:$A$49=Pathways!L11)),0)</f>
        <v>4100000</v>
      </c>
      <c r="M98" s="122" cm="1">
        <f t="array" ref="M98">IF(M12&lt;&gt;Dropdowns!$E$4,SUMPRODUCT('Cost and Efficiency Data (R)'!$B$42:$AE$49*('Cost and Efficiency Data (R)'!$B$40:$AE$40="Pipeline Interconnection")*(Pathways!M18='Cost and Efficiency Data (R)'!$B$41:$AE$41)*('Cost and Efficiency Data (R)'!$A$42:$A$49=Pathways!M11)),0)</f>
        <v>4100000</v>
      </c>
      <c r="N98" s="122" cm="1">
        <f t="array" ref="N98">IF(N12&lt;&gt;Dropdowns!$E$4,SUMPRODUCT('Cost and Efficiency Data (R)'!$B$42:$AE$49*('Cost and Efficiency Data (R)'!$B$40:$AE$40="Pipeline Interconnection")*(Pathways!N18='Cost and Efficiency Data (R)'!$B$41:$AE$41)*('Cost and Efficiency Data (R)'!$A$42:$A$49=Pathways!N11)),0)</f>
        <v>4100000</v>
      </c>
      <c r="O98" s="122" cm="1">
        <f t="array" ref="O98">IF(O12&lt;&gt;Dropdowns!$E$4,SUMPRODUCT('Cost and Efficiency Data (R)'!$B$42:$AE$49*('Cost and Efficiency Data (R)'!$B$40:$AE$40="Pipeline Interconnection")*(Pathways!O18='Cost and Efficiency Data (R)'!$B$41:$AE$41)*('Cost and Efficiency Data (R)'!$A$42:$A$49=Pathways!O11)),0)</f>
        <v>4100000</v>
      </c>
      <c r="P98" s="122" cm="1">
        <f t="array" ref="P98">IF(P12&lt;&gt;Dropdowns!$E$4,SUMPRODUCT('Cost and Efficiency Data (R)'!$B$42:$AE$49*('Cost and Efficiency Data (R)'!$B$40:$AE$40="Pipeline Interconnection")*(Pathways!P18='Cost and Efficiency Data (R)'!$B$41:$AE$41)*('Cost and Efficiency Data (R)'!$A$42:$A$49=Pathways!P11)),0)</f>
        <v>4100000</v>
      </c>
      <c r="Q98" s="122" cm="1">
        <f t="array" ref="Q98">IF(Q12&lt;&gt;Dropdowns!$E$4,SUMPRODUCT('Cost and Efficiency Data (R)'!$B$42:$AE$49*('Cost and Efficiency Data (R)'!$B$40:$AE$40="Pipeline Interconnection")*(Pathways!Q18='Cost and Efficiency Data (R)'!$B$41:$AE$41)*('Cost and Efficiency Data (R)'!$A$42:$A$49=Pathways!Q11)),0)</f>
        <v>4100000</v>
      </c>
      <c r="R98" s="122" cm="1">
        <f t="array" ref="R98">IF(R12&lt;&gt;Dropdowns!$E$4,SUMPRODUCT('Cost and Efficiency Data (R)'!$B$42:$AE$49*('Cost and Efficiency Data (R)'!$B$40:$AE$40="Pipeline Interconnection")*(Pathways!R18='Cost and Efficiency Data (R)'!$B$41:$AE$41)*('Cost and Efficiency Data (R)'!$A$42:$A$49=Pathways!R11)),0)</f>
        <v>4100000</v>
      </c>
      <c r="T98" s="122" cm="1">
        <f t="array" ref="T98">IF(T12&lt;&gt;Dropdowns!$E$4,SUMPRODUCT('Cost and Efficiency Data (R)'!$B$42:$AE$49*('Cost and Efficiency Data (R)'!$B$40:$AE$40="Pipeline Interconnection")*(Pathways!T18='Cost and Efficiency Data (R)'!$B$41:$AE$41)*('Cost and Efficiency Data (R)'!$A$42:$A$49=Pathways!T11)),0)</f>
        <v>4100000</v>
      </c>
      <c r="U98" s="122" cm="1">
        <f t="array" ref="U98">IF(U12&lt;&gt;Dropdowns!$E$4,SUMPRODUCT('Cost and Efficiency Data (R)'!$B$42:$AE$49*('Cost and Efficiency Data (R)'!$B$40:$AE$40="Pipeline Interconnection")*(Pathways!U18='Cost and Efficiency Data (R)'!$B$41:$AE$41)*('Cost and Efficiency Data (R)'!$A$42:$A$49=Pathways!U11)),0)</f>
        <v>4100000</v>
      </c>
      <c r="V98" s="122" cm="1">
        <f t="array" ref="V98">IF(V12&lt;&gt;Dropdowns!$E$4,SUMPRODUCT('Cost and Efficiency Data (R)'!$B$42:$AE$49*('Cost and Efficiency Data (R)'!$B$40:$AE$40="Pipeline Interconnection")*(Pathways!V18='Cost and Efficiency Data (R)'!$B$41:$AE$41)*('Cost and Efficiency Data (R)'!$A$42:$A$49=Pathways!V11)),0)</f>
        <v>4100000</v>
      </c>
      <c r="W98" s="122" cm="1">
        <f t="array" ref="W98">IF(W12&lt;&gt;Dropdowns!$E$4,SUMPRODUCT('Cost and Efficiency Data (R)'!$B$42:$AE$49*('Cost and Efficiency Data (R)'!$B$40:$AE$40="Pipeline Interconnection")*(Pathways!W18='Cost and Efficiency Data (R)'!$B$41:$AE$41)*('Cost and Efficiency Data (R)'!$A$42:$A$49=Pathways!W11)),0)</f>
        <v>4100000</v>
      </c>
      <c r="X98" s="122" cm="1">
        <f t="array" ref="X98">IF(X12&lt;&gt;Dropdowns!$E$4,SUMPRODUCT('Cost and Efficiency Data (R)'!$B$42:$AE$49*('Cost and Efficiency Data (R)'!$B$40:$AE$40="Pipeline Interconnection")*(Pathways!X18='Cost and Efficiency Data (R)'!$B$41:$AE$41)*('Cost and Efficiency Data (R)'!$A$42:$A$49=Pathways!X11)),0)</f>
        <v>4100000</v>
      </c>
      <c r="Y98" s="122" cm="1">
        <f t="array" ref="Y98">IF(Y12&lt;&gt;Dropdowns!$E$4,SUMPRODUCT('Cost and Efficiency Data (R)'!$B$42:$AE$49*('Cost and Efficiency Data (R)'!$B$40:$AE$40="Pipeline Interconnection")*(Pathways!Y18='Cost and Efficiency Data (R)'!$B$41:$AE$41)*('Cost and Efficiency Data (R)'!$A$42:$A$49=Pathways!Y11)),0)</f>
        <v>4100000</v>
      </c>
      <c r="Z98" s="122" cm="1">
        <f t="array" ref="Z98">IF(Z12&lt;&gt;Dropdowns!$E$4,SUMPRODUCT('Cost and Efficiency Data (R)'!$B$42:$AE$49*('Cost and Efficiency Data (R)'!$B$40:$AE$40="Pipeline Interconnection")*(Pathways!Z18='Cost and Efficiency Data (R)'!$B$41:$AE$41)*('Cost and Efficiency Data (R)'!$A$42:$A$49=Pathways!Z11)),0)</f>
        <v>4100000</v>
      </c>
      <c r="AA98" s="16"/>
      <c r="AB98" s="196"/>
    </row>
    <row r="99" spans="1:28" ht="14" outlineLevel="1" x14ac:dyDescent="0.25">
      <c r="B99" s="8"/>
      <c r="C99" s="162" t="s">
        <v>134</v>
      </c>
      <c r="D99" s="122" t="e" cm="1">
        <f t="array" ref="D99">SUMPRODUCT('Cost and Efficiency Data (R)'!$B$69:$X$69*('Cost and Efficiency Data (R)'!$B$66:$X$66=D15)*(Pathways!D18='Cost and Efficiency Data (R)'!$B$67:$X$67))+SUMPRODUCT('Cost and Efficiency Data (R)'!$B$69:$X$69*('Cost and Efficiency Data (R)'!$B$66:$X$66=D12)*(Pathways!D18='Cost and Efficiency Data (R)'!$B$67:$X$67))</f>
        <v>#VALUE!</v>
      </c>
      <c r="E99" s="122" t="e" cm="1">
        <f t="array" ref="E99">SUMPRODUCT('Cost and Efficiency Data (R)'!$B$69:$X$69*('Cost and Efficiency Data (R)'!$B$66:$X$66=E15)*(Pathways!E18='Cost and Efficiency Data (R)'!$B$67:$X$67))+SUMPRODUCT('Cost and Efficiency Data (R)'!$B$69:$X$69*('Cost and Efficiency Data (R)'!$B$66:$X$66=E12)*(Pathways!E18='Cost and Efficiency Data (R)'!$B$67:$X$67))</f>
        <v>#VALUE!</v>
      </c>
      <c r="F99" s="122" t="e" cm="1">
        <f t="array" ref="F99">SUMPRODUCT('Cost and Efficiency Data (R)'!$B$69:$X$69*('Cost and Efficiency Data (R)'!$B$66:$X$66=F15)*(Pathways!F18='Cost and Efficiency Data (R)'!$B$67:$X$67))+SUMPRODUCT('Cost and Efficiency Data (R)'!$B$69:$X$69*('Cost and Efficiency Data (R)'!$B$66:$X$66=F12)*(Pathways!F18='Cost and Efficiency Data (R)'!$B$67:$X$67))</f>
        <v>#VALUE!</v>
      </c>
      <c r="G99" s="122" t="e" cm="1">
        <f t="array" ref="G99">SUMPRODUCT('Cost and Efficiency Data (R)'!$B$69:$X$69*('Cost and Efficiency Data (R)'!$B$66:$X$66=G15)*(Pathways!G18='Cost and Efficiency Data (R)'!$B$67:$X$67))+SUMPRODUCT('Cost and Efficiency Data (R)'!$B$69:$X$69*('Cost and Efficiency Data (R)'!$B$66:$X$66=G12)*(Pathways!G18='Cost and Efficiency Data (R)'!$B$67:$X$67))</f>
        <v>#VALUE!</v>
      </c>
      <c r="H99" s="122" t="e" cm="1">
        <f t="array" ref="H99">SUMPRODUCT('Cost and Efficiency Data (R)'!$B$69:$X$69*('Cost and Efficiency Data (R)'!$B$66:$X$66=H15)*(Pathways!H18='Cost and Efficiency Data (R)'!$B$67:$X$67))+SUMPRODUCT('Cost and Efficiency Data (R)'!$B$69:$X$69*('Cost and Efficiency Data (R)'!$B$66:$X$66=H12)*(Pathways!H18='Cost and Efficiency Data (R)'!$B$67:$X$67))</f>
        <v>#VALUE!</v>
      </c>
      <c r="I99" s="122" t="e" cm="1">
        <f t="array" ref="I99">SUMPRODUCT('Cost and Efficiency Data (R)'!$B$69:$X$69*('Cost and Efficiency Data (R)'!$B$66:$X$66=I15)*(Pathways!I18='Cost and Efficiency Data (R)'!$B$67:$X$67))+SUMPRODUCT('Cost and Efficiency Data (R)'!$B$69:$X$69*('Cost and Efficiency Data (R)'!$B$66:$X$66=I12)*(Pathways!I18='Cost and Efficiency Data (R)'!$B$67:$X$67))</f>
        <v>#VALUE!</v>
      </c>
      <c r="J99" s="122" t="e" cm="1">
        <f t="array" ref="J99">SUMPRODUCT('Cost and Efficiency Data (R)'!$B$69:$X$69*('Cost and Efficiency Data (R)'!$B$66:$X$66=J15)*(Pathways!J18='Cost and Efficiency Data (R)'!$B$67:$X$67))+SUMPRODUCT('Cost and Efficiency Data (R)'!$B$69:$X$69*('Cost and Efficiency Data (R)'!$B$66:$X$66=J12)*(Pathways!J18='Cost and Efficiency Data (R)'!$B$67:$X$67))</f>
        <v>#VALUE!</v>
      </c>
      <c r="K99" s="16"/>
      <c r="L99" s="122" t="e" cm="1">
        <f t="array" ref="L99">SUMPRODUCT('Cost and Efficiency Data (R)'!$B$69:$X$69*('Cost and Efficiency Data (R)'!$B$66:$X$66=L15)*(Pathways!L18='Cost and Efficiency Data (R)'!$B$67:$X$67))+SUMPRODUCT('Cost and Efficiency Data (R)'!$B$69:$X$69*('Cost and Efficiency Data (R)'!$B$66:$X$66=L12)*(Pathways!L18='Cost and Efficiency Data (R)'!$B$67:$X$67))</f>
        <v>#VALUE!</v>
      </c>
      <c r="M99" s="122" t="e" cm="1">
        <f t="array" ref="M99">SUMPRODUCT('Cost and Efficiency Data (R)'!$B$69:$X$69*('Cost and Efficiency Data (R)'!$B$66:$X$66=M15)*(Pathways!M18='Cost and Efficiency Data (R)'!$B$67:$X$67))+SUMPRODUCT('Cost and Efficiency Data (R)'!$B$69:$X$69*('Cost and Efficiency Data (R)'!$B$66:$X$66=M12)*(Pathways!M18='Cost and Efficiency Data (R)'!$B$67:$X$67))</f>
        <v>#VALUE!</v>
      </c>
      <c r="N99" s="122" t="e" cm="1">
        <f t="array" ref="N99">SUMPRODUCT('Cost and Efficiency Data (R)'!$B$69:$X$69*('Cost and Efficiency Data (R)'!$B$66:$X$66=N15)*(Pathways!N18='Cost and Efficiency Data (R)'!$B$67:$X$67))+SUMPRODUCT('Cost and Efficiency Data (R)'!$B$69:$X$69*('Cost and Efficiency Data (R)'!$B$66:$X$66=N12)*(Pathways!N18='Cost and Efficiency Data (R)'!$B$67:$X$67))</f>
        <v>#VALUE!</v>
      </c>
      <c r="O99" s="122" t="e" cm="1">
        <f t="array" ref="O99">SUMPRODUCT('Cost and Efficiency Data (R)'!$B$69:$X$69*('Cost and Efficiency Data (R)'!$B$66:$X$66=O15)*(Pathways!O18='Cost and Efficiency Data (R)'!$B$67:$X$67))+SUMPRODUCT('Cost and Efficiency Data (R)'!$B$69:$X$69*('Cost and Efficiency Data (R)'!$B$66:$X$66=O12)*(Pathways!O18='Cost and Efficiency Data (R)'!$B$67:$X$67))</f>
        <v>#VALUE!</v>
      </c>
      <c r="P99" s="122" t="e" cm="1">
        <f t="array" ref="P99">SUMPRODUCT('Cost and Efficiency Data (R)'!$B$69:$X$69*('Cost and Efficiency Data (R)'!$B$66:$X$66=P15)*(Pathways!P18='Cost and Efficiency Data (R)'!$B$67:$X$67))+SUMPRODUCT('Cost and Efficiency Data (R)'!$B$69:$X$69*('Cost and Efficiency Data (R)'!$B$66:$X$66=P12)*(Pathways!P18='Cost and Efficiency Data (R)'!$B$67:$X$67))</f>
        <v>#VALUE!</v>
      </c>
      <c r="Q99" s="122" t="e" cm="1">
        <f t="array" ref="Q99">SUMPRODUCT('Cost and Efficiency Data (R)'!$B$69:$X$69*('Cost and Efficiency Data (R)'!$B$66:$X$66=Q15)*(Pathways!Q18='Cost and Efficiency Data (R)'!$B$67:$X$67))+SUMPRODUCT('Cost and Efficiency Data (R)'!$B$69:$X$69*('Cost and Efficiency Data (R)'!$B$66:$X$66=Q12)*(Pathways!Q18='Cost and Efficiency Data (R)'!$B$67:$X$67))</f>
        <v>#VALUE!</v>
      </c>
      <c r="R99" s="122" t="e" cm="1">
        <f t="array" ref="R99">SUMPRODUCT('Cost and Efficiency Data (R)'!$B$69:$X$69*('Cost and Efficiency Data (R)'!$B$66:$X$66=R15)*(Pathways!R18='Cost and Efficiency Data (R)'!$B$67:$X$67))+SUMPRODUCT('Cost and Efficiency Data (R)'!$B$69:$X$69*('Cost and Efficiency Data (R)'!$B$66:$X$66=R12)*(Pathways!R18='Cost and Efficiency Data (R)'!$B$67:$X$67))</f>
        <v>#VALUE!</v>
      </c>
      <c r="T99" s="122" t="e" cm="1">
        <f t="array" ref="T99">SUMPRODUCT('Cost and Efficiency Data (R)'!$B$69:$X$69*('Cost and Efficiency Data (R)'!$B$66:$X$66=T15)*(Pathways!T18='Cost and Efficiency Data (R)'!$B$67:$X$67))+SUMPRODUCT('Cost and Efficiency Data (R)'!$B$69:$X$69*('Cost and Efficiency Data (R)'!$B$66:$X$66=T12)*(Pathways!T18='Cost and Efficiency Data (R)'!$B$67:$X$67))</f>
        <v>#VALUE!</v>
      </c>
      <c r="U99" s="122" t="e" cm="1">
        <f t="array" ref="U99">SUMPRODUCT('Cost and Efficiency Data (R)'!$B$69:$X$69*('Cost and Efficiency Data (R)'!$B$66:$X$66=U15)*(Pathways!U18='Cost and Efficiency Data (R)'!$B$67:$X$67))+SUMPRODUCT('Cost and Efficiency Data (R)'!$B$69:$X$69*('Cost and Efficiency Data (R)'!$B$66:$X$66=U12)*(Pathways!U18='Cost and Efficiency Data (R)'!$B$67:$X$67))</f>
        <v>#VALUE!</v>
      </c>
      <c r="V99" s="122" t="e" cm="1">
        <f t="array" ref="V99">SUMPRODUCT('Cost and Efficiency Data (R)'!$B$69:$X$69*('Cost and Efficiency Data (R)'!$B$66:$X$66=V15)*(Pathways!V18='Cost and Efficiency Data (R)'!$B$67:$X$67))+SUMPRODUCT('Cost and Efficiency Data (R)'!$B$69:$X$69*('Cost and Efficiency Data (R)'!$B$66:$X$66=V12)*(Pathways!V18='Cost and Efficiency Data (R)'!$B$67:$X$67))</f>
        <v>#VALUE!</v>
      </c>
      <c r="W99" s="122" t="e" cm="1">
        <f t="array" ref="W99">SUMPRODUCT('Cost and Efficiency Data (R)'!$B$69:$X$69*('Cost and Efficiency Data (R)'!$B$66:$X$66=W15)*(Pathways!W18='Cost and Efficiency Data (R)'!$B$67:$X$67))+SUMPRODUCT('Cost and Efficiency Data (R)'!$B$69:$X$69*('Cost and Efficiency Data (R)'!$B$66:$X$66=W12)*(Pathways!W18='Cost and Efficiency Data (R)'!$B$67:$X$67))</f>
        <v>#VALUE!</v>
      </c>
      <c r="X99" s="122" t="e" cm="1">
        <f t="array" ref="X99">SUMPRODUCT('Cost and Efficiency Data (R)'!$B$69:$X$69*('Cost and Efficiency Data (R)'!$B$66:$X$66=X15)*(Pathways!X18='Cost and Efficiency Data (R)'!$B$67:$X$67))+SUMPRODUCT('Cost and Efficiency Data (R)'!$B$69:$X$69*('Cost and Efficiency Data (R)'!$B$66:$X$66=X12)*(Pathways!X18='Cost and Efficiency Data (R)'!$B$67:$X$67))</f>
        <v>#VALUE!</v>
      </c>
      <c r="Y99" s="122" t="e" cm="1">
        <f t="array" ref="Y99">SUMPRODUCT('Cost and Efficiency Data (R)'!$B$69:$X$69*('Cost and Efficiency Data (R)'!$B$66:$X$66=Y15)*(Pathways!Y18='Cost and Efficiency Data (R)'!$B$67:$X$67))+SUMPRODUCT('Cost and Efficiency Data (R)'!$B$69:$X$69*('Cost and Efficiency Data (R)'!$B$66:$X$66=Y12)*(Pathways!Y18='Cost and Efficiency Data (R)'!$B$67:$X$67))</f>
        <v>#VALUE!</v>
      </c>
      <c r="Z99" s="122" t="e" cm="1">
        <f t="array" ref="Z99">SUMPRODUCT('Cost and Efficiency Data (R)'!$B$69:$X$69*('Cost and Efficiency Data (R)'!$B$66:$X$66=Z15)*(Pathways!Z18='Cost and Efficiency Data (R)'!$B$67:$X$67))+SUMPRODUCT('Cost and Efficiency Data (R)'!$B$69:$X$69*('Cost and Efficiency Data (R)'!$B$66:$X$66=Z12)*(Pathways!Z18='Cost and Efficiency Data (R)'!$B$67:$X$67))</f>
        <v>#VALUE!</v>
      </c>
      <c r="AA99" s="16"/>
      <c r="AB99" s="196"/>
    </row>
    <row r="100" spans="1:28" ht="14" outlineLevel="1" x14ac:dyDescent="0.25">
      <c r="B100" s="8"/>
      <c r="C100" s="162" t="s">
        <v>135</v>
      </c>
      <c r="D100" s="122" t="e" cm="1">
        <f t="array" ref="D100">SUMPRODUCT('Cost and Efficiency Data (R)'!$B$68:$X$68*('Cost and Efficiency Data (R)'!$B$67:$X$67=Pathways!D18)*('Cost and Efficiency Data (R)'!$B$66:$X$66=Pathways!D13))</f>
        <v>#VALUE!</v>
      </c>
      <c r="E100" s="122" t="e" cm="1">
        <f t="array" ref="E100">SUMPRODUCT('Cost and Efficiency Data (R)'!$B$68:$X$68*('Cost and Efficiency Data (R)'!$B$67:$X$67=Pathways!E18)*('Cost and Efficiency Data (R)'!$B$66:$X$66=Pathways!E13))</f>
        <v>#VALUE!</v>
      </c>
      <c r="F100" s="122" t="e" cm="1">
        <f t="array" ref="F100">SUMPRODUCT('Cost and Efficiency Data (R)'!$B$68:$X$68*('Cost and Efficiency Data (R)'!$B$67:$X$67=Pathways!F18)*('Cost and Efficiency Data (R)'!$B$66:$X$66=Pathways!F13))</f>
        <v>#VALUE!</v>
      </c>
      <c r="G100" s="122" t="e" cm="1">
        <f t="array" ref="G100">SUMPRODUCT('Cost and Efficiency Data (R)'!$B$68:$X$68*('Cost and Efficiency Data (R)'!$B$67:$X$67=Pathways!G18)*('Cost and Efficiency Data (R)'!$B$66:$X$66=Pathways!G13))</f>
        <v>#VALUE!</v>
      </c>
      <c r="H100" s="122" t="e" cm="1">
        <f t="array" ref="H100">SUMPRODUCT('Cost and Efficiency Data (R)'!$B$68:$X$68*('Cost and Efficiency Data (R)'!$B$67:$X$67=Pathways!H18)*('Cost and Efficiency Data (R)'!$B$66:$X$66=Pathways!H13))</f>
        <v>#VALUE!</v>
      </c>
      <c r="I100" s="122" t="e" cm="1">
        <f t="array" ref="I100">SUMPRODUCT('Cost and Efficiency Data (R)'!$B$68:$X$68*('Cost and Efficiency Data (R)'!$B$67:$X$67=Pathways!I18)*('Cost and Efficiency Data (R)'!$B$66:$X$66=Pathways!I13))</f>
        <v>#VALUE!</v>
      </c>
      <c r="J100" s="122" t="e" cm="1">
        <f t="array" ref="J100">SUMPRODUCT('Cost and Efficiency Data (R)'!$B$68:$X$68*('Cost and Efficiency Data (R)'!$B$67:$X$67=Pathways!J18)*('Cost and Efficiency Data (R)'!$B$66:$X$66=Pathways!J13))</f>
        <v>#VALUE!</v>
      </c>
      <c r="K100" s="16"/>
      <c r="L100" s="122" t="e" cm="1">
        <f t="array" ref="L100">SUMPRODUCT('Cost and Efficiency Data (R)'!$B$68:$X$68*('Cost and Efficiency Data (R)'!$B$67:$X$67=Pathways!L18)*('Cost and Efficiency Data (R)'!$B$66:$X$66=Pathways!L13))</f>
        <v>#VALUE!</v>
      </c>
      <c r="M100" s="122" t="e" cm="1">
        <f t="array" ref="M100">SUMPRODUCT('Cost and Efficiency Data (R)'!$B$68:$X$68*('Cost and Efficiency Data (R)'!$B$67:$X$67=Pathways!M18)*('Cost and Efficiency Data (R)'!$B$66:$X$66=Pathways!M13))</f>
        <v>#VALUE!</v>
      </c>
      <c r="N100" s="122" t="e" cm="1">
        <f t="array" ref="N100">SUMPRODUCT('Cost and Efficiency Data (R)'!$B$68:$X$68*('Cost and Efficiency Data (R)'!$B$67:$X$67=Pathways!N18)*('Cost and Efficiency Data (R)'!$B$66:$X$66=Pathways!N13))</f>
        <v>#VALUE!</v>
      </c>
      <c r="O100" s="122" t="e" cm="1">
        <f t="array" ref="O100">SUMPRODUCT('Cost and Efficiency Data (R)'!$B$68:$X$68*('Cost and Efficiency Data (R)'!$B$67:$X$67=Pathways!O18)*('Cost and Efficiency Data (R)'!$B$66:$X$66=Pathways!O13))</f>
        <v>#VALUE!</v>
      </c>
      <c r="P100" s="122" t="e" cm="1">
        <f t="array" ref="P100">SUMPRODUCT('Cost and Efficiency Data (R)'!$B$68:$X$68*('Cost and Efficiency Data (R)'!$B$67:$X$67=Pathways!P18)*('Cost and Efficiency Data (R)'!$B$66:$X$66=Pathways!P13))</f>
        <v>#VALUE!</v>
      </c>
      <c r="Q100" s="122" t="e" cm="1">
        <f t="array" ref="Q100">SUMPRODUCT('Cost and Efficiency Data (R)'!$B$68:$X$68*('Cost and Efficiency Data (R)'!$B$67:$X$67=Pathways!Q18)*('Cost and Efficiency Data (R)'!$B$66:$X$66=Pathways!Q13))</f>
        <v>#VALUE!</v>
      </c>
      <c r="R100" s="122" t="e" cm="1">
        <f t="array" ref="R100">SUMPRODUCT('Cost and Efficiency Data (R)'!$B$68:$X$68*('Cost and Efficiency Data (R)'!$B$67:$X$67=Pathways!R18)*('Cost and Efficiency Data (R)'!$B$66:$X$66=Pathways!R13))</f>
        <v>#VALUE!</v>
      </c>
      <c r="T100" s="122" t="e" cm="1">
        <f t="array" ref="T100">SUMPRODUCT('Cost and Efficiency Data (R)'!$B$68:$X$68*('Cost and Efficiency Data (R)'!$B$67:$X$67=Pathways!T18)*('Cost and Efficiency Data (R)'!$B$66:$X$66=Pathways!T13))</f>
        <v>#VALUE!</v>
      </c>
      <c r="U100" s="122" t="e" cm="1">
        <f t="array" ref="U100">SUMPRODUCT('Cost and Efficiency Data (R)'!$B$68:$X$68*('Cost and Efficiency Data (R)'!$B$67:$X$67=Pathways!U18)*('Cost and Efficiency Data (R)'!$B$66:$X$66=Pathways!U13))</f>
        <v>#VALUE!</v>
      </c>
      <c r="V100" s="122" t="e" cm="1">
        <f t="array" ref="V100">SUMPRODUCT('Cost and Efficiency Data (R)'!$B$68:$X$68*('Cost and Efficiency Data (R)'!$B$67:$X$67=Pathways!V18)*('Cost and Efficiency Data (R)'!$B$66:$X$66=Pathways!V13))</f>
        <v>#VALUE!</v>
      </c>
      <c r="W100" s="122" t="e" cm="1">
        <f t="array" ref="W100">SUMPRODUCT('Cost and Efficiency Data (R)'!$B$68:$X$68*('Cost and Efficiency Data (R)'!$B$67:$X$67=Pathways!W18)*('Cost and Efficiency Data (R)'!$B$66:$X$66=Pathways!W13))</f>
        <v>#VALUE!</v>
      </c>
      <c r="X100" s="122" t="e" cm="1">
        <f t="array" ref="X100">SUMPRODUCT('Cost and Efficiency Data (R)'!$B$68:$X$68*('Cost and Efficiency Data (R)'!$B$67:$X$67=Pathways!X18)*('Cost and Efficiency Data (R)'!$B$66:$X$66=Pathways!X13))</f>
        <v>#VALUE!</v>
      </c>
      <c r="Y100" s="122" t="e" cm="1">
        <f t="array" ref="Y100">SUMPRODUCT('Cost and Efficiency Data (R)'!$B$68:$X$68*('Cost and Efficiency Data (R)'!$B$67:$X$67=Pathways!Y18)*('Cost and Efficiency Data (R)'!$B$66:$X$66=Pathways!Y13))</f>
        <v>#VALUE!</v>
      </c>
      <c r="Z100" s="122" t="e" cm="1">
        <f t="array" ref="Z100">SUMPRODUCT('Cost and Efficiency Data (R)'!$B$68:$X$68*('Cost and Efficiency Data (R)'!$B$67:$X$67=Pathways!Z18)*('Cost and Efficiency Data (R)'!$B$66:$X$66=Pathways!Z13))</f>
        <v>#VALUE!</v>
      </c>
      <c r="AA100" s="16"/>
      <c r="AB100" s="196"/>
    </row>
    <row r="101" spans="1:28" ht="14" outlineLevel="1" x14ac:dyDescent="0.25">
      <c r="B101" s="8"/>
      <c r="C101" s="162" t="s">
        <v>136</v>
      </c>
      <c r="D101" s="122" t="e" cm="1">
        <f t="array" ref="D101">SUMPRODUCT('Cost and Efficiency Data (R)'!$B$68:$X$68*('Cost and Efficiency Data (R)'!$B$67:$X$67=Pathways!D18)*('Cost and Efficiency Data (R)'!$B$66:$X$66=Pathways!D15))</f>
        <v>#VALUE!</v>
      </c>
      <c r="E101" s="122" t="e" cm="1">
        <f t="array" ref="E101">SUMPRODUCT('Cost and Efficiency Data (R)'!$B$68:$X$68*('Cost and Efficiency Data (R)'!$B$67:$X$67=Pathways!E18)*('Cost and Efficiency Data (R)'!$B$66:$X$66=Pathways!E15))</f>
        <v>#VALUE!</v>
      </c>
      <c r="F101" s="122" t="e" cm="1">
        <f t="array" ref="F101">SUMPRODUCT('Cost and Efficiency Data (R)'!$B$68:$X$68*('Cost and Efficiency Data (R)'!$B$67:$X$67=Pathways!F18)*('Cost and Efficiency Data (R)'!$B$66:$X$66=Pathways!F15))</f>
        <v>#VALUE!</v>
      </c>
      <c r="G101" s="122" t="e" cm="1">
        <f t="array" ref="G101">SUMPRODUCT('Cost and Efficiency Data (R)'!$B$68:$X$68*('Cost and Efficiency Data (R)'!$B$67:$X$67=Pathways!G18)*('Cost and Efficiency Data (R)'!$B$66:$X$66=Pathways!G15))</f>
        <v>#VALUE!</v>
      </c>
      <c r="H101" s="122" t="e" cm="1">
        <f t="array" ref="H101">SUMPRODUCT('Cost and Efficiency Data (R)'!$B$68:$X$68*('Cost and Efficiency Data (R)'!$B$67:$X$67=Pathways!H18)*('Cost and Efficiency Data (R)'!$B$66:$X$66=Pathways!H15))</f>
        <v>#VALUE!</v>
      </c>
      <c r="I101" s="122" t="e" cm="1">
        <f t="array" ref="I101">SUMPRODUCT('Cost and Efficiency Data (R)'!$B$68:$X$68*('Cost and Efficiency Data (R)'!$B$67:$X$67=Pathways!I18)*('Cost and Efficiency Data (R)'!$B$66:$X$66=Pathways!I15))</f>
        <v>#VALUE!</v>
      </c>
      <c r="J101" s="122" t="e" cm="1">
        <f t="array" ref="J101">SUMPRODUCT('Cost and Efficiency Data (R)'!$B$68:$X$68*('Cost and Efficiency Data (R)'!$B$67:$X$67=Pathways!J18)*('Cost and Efficiency Data (R)'!$B$66:$X$66=Pathways!J15))</f>
        <v>#VALUE!</v>
      </c>
      <c r="K101" s="16"/>
      <c r="L101" s="205" t="e" cm="1">
        <f t="array" ref="L101">SUMPRODUCT('Cost and Efficiency Data (R)'!$B$68:$X$68*('Cost and Efficiency Data (R)'!$B$67:$X$67=Pathways!L18)*('Cost and Efficiency Data (R)'!$B$66:$X$66=Pathways!L15))</f>
        <v>#VALUE!</v>
      </c>
      <c r="M101" s="205" t="e" cm="1">
        <f t="array" ref="M101">SUMPRODUCT('Cost and Efficiency Data (R)'!$B$68:$X$68*('Cost and Efficiency Data (R)'!$B$67:$X$67=Pathways!M18)*('Cost and Efficiency Data (R)'!$B$66:$X$66=Pathways!M15))</f>
        <v>#VALUE!</v>
      </c>
      <c r="N101" s="205" t="e" cm="1">
        <f t="array" ref="N101">SUMPRODUCT('Cost and Efficiency Data (R)'!$B$68:$X$68*('Cost and Efficiency Data (R)'!$B$67:$X$67=Pathways!N18)*('Cost and Efficiency Data (R)'!$B$66:$X$66=Pathways!N15))</f>
        <v>#VALUE!</v>
      </c>
      <c r="O101" s="205" t="e" cm="1">
        <f t="array" ref="O101">SUMPRODUCT('Cost and Efficiency Data (R)'!$B$68:$X$68*('Cost and Efficiency Data (R)'!$B$67:$X$67=Pathways!O18)*('Cost and Efficiency Data (R)'!$B$66:$X$66=Pathways!O15))</f>
        <v>#VALUE!</v>
      </c>
      <c r="P101" s="205" t="e" cm="1">
        <f t="array" ref="P101">SUMPRODUCT('Cost and Efficiency Data (R)'!$B$68:$X$68*('Cost and Efficiency Data (R)'!$B$67:$X$67=Pathways!P18)*('Cost and Efficiency Data (R)'!$B$66:$X$66=Pathways!P15))</f>
        <v>#VALUE!</v>
      </c>
      <c r="Q101" s="205" t="e" cm="1">
        <f t="array" ref="Q101">SUMPRODUCT('Cost and Efficiency Data (R)'!$B$68:$X$68*('Cost and Efficiency Data (R)'!$B$67:$X$67=Pathways!Q18)*('Cost and Efficiency Data (R)'!$B$66:$X$66=Pathways!Q15))</f>
        <v>#VALUE!</v>
      </c>
      <c r="R101" s="205" t="e" cm="1">
        <f t="array" ref="R101">SUMPRODUCT('Cost and Efficiency Data (R)'!$B$68:$X$68*('Cost and Efficiency Data (R)'!$B$67:$X$67=Pathways!R18)*('Cost and Efficiency Data (R)'!$B$66:$X$66=Pathways!R15))</f>
        <v>#VALUE!</v>
      </c>
      <c r="T101" s="122" t="e" cm="1">
        <f t="array" ref="T101">SUMPRODUCT('Cost and Efficiency Data (R)'!$B$68:$X$68*('Cost and Efficiency Data (R)'!$B$67:$X$67=Pathways!T18)*('Cost and Efficiency Data (R)'!$B$66:$X$66=Pathways!T15))</f>
        <v>#VALUE!</v>
      </c>
      <c r="U101" s="122" t="e" cm="1">
        <f t="array" ref="U101">SUMPRODUCT('Cost and Efficiency Data (R)'!$B$68:$X$68*('Cost and Efficiency Data (R)'!$B$67:$X$67=Pathways!U18)*('Cost and Efficiency Data (R)'!$B$66:$X$66=Pathways!U15))</f>
        <v>#VALUE!</v>
      </c>
      <c r="V101" s="122" t="e" cm="1">
        <f t="array" ref="V101">SUMPRODUCT('Cost and Efficiency Data (R)'!$B$68:$X$68*('Cost and Efficiency Data (R)'!$B$67:$X$67=Pathways!V18)*('Cost and Efficiency Data (R)'!$B$66:$X$66=Pathways!V15))</f>
        <v>#VALUE!</v>
      </c>
      <c r="W101" s="122" t="e" cm="1">
        <f t="array" ref="W101">SUMPRODUCT('Cost and Efficiency Data (R)'!$B$68:$X$68*('Cost and Efficiency Data (R)'!$B$67:$X$67=Pathways!W18)*('Cost and Efficiency Data (R)'!$B$66:$X$66=Pathways!W15))</f>
        <v>#VALUE!</v>
      </c>
      <c r="X101" s="122" t="e" cm="1">
        <f t="array" ref="X101">SUMPRODUCT('Cost and Efficiency Data (R)'!$B$68:$X$68*('Cost and Efficiency Data (R)'!$B$67:$X$67=Pathways!X18)*('Cost and Efficiency Data (R)'!$B$66:$X$66=Pathways!X15))</f>
        <v>#VALUE!</v>
      </c>
      <c r="Y101" s="122" t="e" cm="1">
        <f t="array" ref="Y101">SUMPRODUCT('Cost and Efficiency Data (R)'!$B$68:$X$68*('Cost and Efficiency Data (R)'!$B$67:$X$67=Pathways!Y18)*('Cost and Efficiency Data (R)'!$B$66:$X$66=Pathways!Y15))</f>
        <v>#VALUE!</v>
      </c>
      <c r="Z101" s="122" t="e" cm="1">
        <f t="array" ref="Z101">SUMPRODUCT('Cost and Efficiency Data (R)'!$B$68:$X$68*('Cost and Efficiency Data (R)'!$B$67:$X$67=Pathways!Z18)*('Cost and Efficiency Data (R)'!$B$66:$X$66=Pathways!Z15))</f>
        <v>#VALUE!</v>
      </c>
      <c r="AA101" s="16"/>
      <c r="AB101" s="196"/>
    </row>
    <row r="102" spans="1:28" ht="14" outlineLevel="1" x14ac:dyDescent="0.25">
      <c r="B102" s="8"/>
      <c r="C102" s="162" t="s">
        <v>137</v>
      </c>
      <c r="D102" s="124">
        <f>IF(D15=Dropdowns!$F$6,D17*D83*0.001/(D81*'Conversion Constants'!$B$2*0.000001),0)</f>
        <v>0</v>
      </c>
      <c r="E102" s="124">
        <f>IF(E15=Dropdowns!$F$6,E17*E83*0.001/(E81*'Conversion Constants'!$B$2*0.000001),0)</f>
        <v>0</v>
      </c>
      <c r="F102" s="124">
        <f>IF(F15=Dropdowns!$F$6,F17*F83*0.001/(F81*'Conversion Constants'!$B$2*0.000001),0)</f>
        <v>0</v>
      </c>
      <c r="G102" s="124">
        <f>IF(G15=Dropdowns!$F$6,G17*G83*0.001/(G81*'Conversion Constants'!$B$2*0.000001),0)</f>
        <v>0</v>
      </c>
      <c r="H102" s="124">
        <f>IF(H15=Dropdowns!$F$6,H17*H83*0.001/(H81*'Conversion Constants'!$B$2*0.000001),0)</f>
        <v>0</v>
      </c>
      <c r="I102" s="124">
        <f>IF(I15=Dropdowns!$F$6,I17*I83*0.001/(I81*'Conversion Constants'!$B$2*0.000001),0)</f>
        <v>0</v>
      </c>
      <c r="J102" s="124">
        <f>IF(J15=Dropdowns!$F$6,J17*J83*0.001/(J81*'Conversion Constants'!$B$2*0.000001),0)</f>
        <v>0</v>
      </c>
      <c r="K102" s="16"/>
      <c r="L102" s="124">
        <f>IF(L15=Dropdowns!$F$6,L17*L83*0.001/(L81*'Conversion Constants'!$B$2*0.000001),0)</f>
        <v>0</v>
      </c>
      <c r="M102" s="124">
        <f>IF(M15=Dropdowns!$F$6,M17*M83*0.001/(M81*'Conversion Constants'!$B$2*0.000001),0)</f>
        <v>0</v>
      </c>
      <c r="N102" s="124">
        <f>IF(N15=Dropdowns!$F$6,N17*N83*0.001/(N81*'Conversion Constants'!$B$2*0.000001),0)</f>
        <v>0</v>
      </c>
      <c r="O102" s="124">
        <f>IF(O15=Dropdowns!$F$6,O17*O83*0.001/(O81*'Conversion Constants'!$B$2*0.000001),0)</f>
        <v>0</v>
      </c>
      <c r="P102" s="124">
        <f>IF(P15=Dropdowns!$F$6,P17*P83*0.001/(P81*'Conversion Constants'!$B$2*0.000001),0)</f>
        <v>0</v>
      </c>
      <c r="Q102" s="124">
        <f>IF(Q15=Dropdowns!$F$6,Q17*Q83*0.001/(Q81*'Conversion Constants'!$B$2*0.000001),0)</f>
        <v>0</v>
      </c>
      <c r="R102" s="124">
        <f>IF(R15=Dropdowns!$F$6,R17*R83*0.001/(R81*'Conversion Constants'!$B$2*0.000001),0)</f>
        <v>0</v>
      </c>
      <c r="T102" s="124" t="e">
        <f>IF(T15=Dropdowns!$F$6,T17*T83*0.001/(T81*'Conversion Constants'!$B$2*0.000001),0)</f>
        <v>#VALUE!</v>
      </c>
      <c r="U102" s="124" t="e">
        <f>IF(U15=Dropdowns!$F$6,U17*U83*0.001/(U81*'Conversion Constants'!$B$2*0.000001),0)</f>
        <v>#VALUE!</v>
      </c>
      <c r="V102" s="124" t="e">
        <f>IF(V15=Dropdowns!$F$6,V17*V83*0.001/(V81*'Conversion Constants'!$B$2*0.000001),0)</f>
        <v>#VALUE!</v>
      </c>
      <c r="W102" s="124" t="e">
        <f>IF(W15=Dropdowns!$F$6,W17*W83*0.001/(W81*'Conversion Constants'!$B$2*0.000001),0)</f>
        <v>#VALUE!</v>
      </c>
      <c r="X102" s="124" t="e">
        <f>IF(X15=Dropdowns!$F$6,X17*X83*0.001/(X81*'Conversion Constants'!$B$2*0.000001),0)</f>
        <v>#VALUE!</v>
      </c>
      <c r="Y102" s="124" t="e">
        <f>IF(Y15=Dropdowns!$F$6,Y17*Y83*0.001/(Y81*'Conversion Constants'!$B$2*0.000001),0)</f>
        <v>#VALUE!</v>
      </c>
      <c r="Z102" s="124" t="e">
        <f>IF(Z15=Dropdowns!$F$6,Z17*Z83*0.001/(Z81*'Conversion Constants'!$B$2*0.000001),0)</f>
        <v>#VALUE!</v>
      </c>
      <c r="AA102" s="16"/>
      <c r="AB102" s="196"/>
    </row>
    <row r="103" spans="1:28" ht="14" outlineLevel="1" x14ac:dyDescent="0.25">
      <c r="B103" s="8"/>
      <c r="C103" s="162" t="s">
        <v>138</v>
      </c>
      <c r="D103" s="123" t="e">
        <f>IF(D81=0,(((D93+D97+D98)*D71)+((D94+D95+D96)*D72))/(D78*D$22*8760/'Conversion Constants'!$B$22),
                      (((D93+D97+D98)*D71)+((D94+D95+D96)*D72))/(D82*D$22*8760/'Conversion Constants'!$B$22))</f>
        <v>#VALUE!</v>
      </c>
      <c r="E103" s="123" t="e">
        <f>IF(E81=0,(((E93+E97+E98)*E71)+((E94+E95+E96)*E72))/(E78*E$22*8760/'Conversion Constants'!$B$22),
                      (((E93+E97+E98)*E71)+((E94+E95+E96)*E72))/(E82*E$22*8760/'Conversion Constants'!$B$22))</f>
        <v>#VALUE!</v>
      </c>
      <c r="F103" s="123" t="e">
        <f>IF(F81=0,(((F93+F97+F98)*F71)+((F94+F95+F96)*F72))/(F78*F$22*8760/'Conversion Constants'!$B$22),
                      (((F93+F97+F98)*F71)+((F94+F95+F96)*F72))/(F82*F$22*8760/'Conversion Constants'!$B$22))</f>
        <v>#VALUE!</v>
      </c>
      <c r="G103" s="123" t="e">
        <f>IF(G81=0,(((G93+G97+G98)*G71)+((G94+G95+G96)*G72))/(G78*G$22*8760/'Conversion Constants'!$B$22),
                      (((G93+G97+G98)*G71)+((G94+G95+G96)*G72))/(G82*G$22*8760/'Conversion Constants'!$B$22))</f>
        <v>#VALUE!</v>
      </c>
      <c r="H103" s="123" t="e">
        <f>IF(H81=0,(((H93+H97+H98)*H71)+((H94+H95+H96)*H72))/(H78*H$22*8760/'Conversion Constants'!$B$22),
                      (((H93+H97+H98)*H71)+((H94+H95+H96)*H72))/(H82*H$22*8760/'Conversion Constants'!$B$22))</f>
        <v>#VALUE!</v>
      </c>
      <c r="I103" s="123" t="e">
        <f>IF(I81=0,(((I93+I97+I98)*I71)+((I94+I95+I96)*I72))/(I78*I$22*8760/'Conversion Constants'!$B$22),
                      (((I93+I97+I98)*I71)+((I94+I95+I96)*I72))/(I82*I$22*8760/'Conversion Constants'!$B$22))</f>
        <v>#VALUE!</v>
      </c>
      <c r="J103" s="123" t="e">
        <f>IF(J81=0,(((J93+J97+J98)*J71)+((J94+J95+J96)*J72))/(J78*J$22*8760/'Conversion Constants'!$B$22),
                      (((J93+J97+J98)*J71)+((J94+J95+J96)*J72))/(J82*J$22*8760/'Conversion Constants'!$B$22))</f>
        <v>#VALUE!</v>
      </c>
      <c r="K103" s="16"/>
      <c r="L103" s="123" t="e">
        <f>IF(L81=0,(((L93+L97+L98)*L71)+((L94+L95+L96)*L72))/(L78*L$22*8760/'Conversion Constants'!$B$22),
                      (((L93+L97+L98)*L71)+((L94+L95+L96)*L72))/(L82*L$22*8760/'Conversion Constants'!$B$22))</f>
        <v>#VALUE!</v>
      </c>
      <c r="M103" s="123" t="e">
        <f>IF(M81=0,(((M93+M97+M98)*M71)+((M94+M95+M96)*M72))/(M78*M$22*8760/'Conversion Constants'!$B$22),
                      (((M93+M97+M98)*M71)+((M94+M95+M96)*M72))/(M82*M$22*8760/'Conversion Constants'!$B$22))</f>
        <v>#VALUE!</v>
      </c>
      <c r="N103" s="123" t="e">
        <f>IF(N81=0,(((N93+N97+N98)*N71)+((N94+N95+N96)*N72))/(N78*N$22*8760/'Conversion Constants'!$B$22),
                      (((N93+N97+N98)*N71)+((N94+N95+N96)*N72))/(N82*N$22*8760/'Conversion Constants'!$B$22))</f>
        <v>#VALUE!</v>
      </c>
      <c r="O103" s="123" t="e">
        <f>IF(O81=0,(((O93+O97+O98)*O71)+((O94+O95+O96)*O72))/(O78*O$22*8760/'Conversion Constants'!$B$22),
                      (((O93+O97+O98)*O71)+((O94+O95+O96)*O72))/(O82*O$22*8760/'Conversion Constants'!$B$22))</f>
        <v>#VALUE!</v>
      </c>
      <c r="P103" s="123" t="e">
        <f>IF(P81=0,(((P93+P97+P98)*P71)+((P94+P95+P96)*P72))/(P78*P$22*8760/'Conversion Constants'!$B$22),
                      (((P93+P97+P98)*P71)+((P94+P95+P96)*P72))/(P82*P$22*8760/'Conversion Constants'!$B$22))</f>
        <v>#VALUE!</v>
      </c>
      <c r="Q103" s="123" t="e">
        <f>IF(Q81=0,(((Q93+Q97+Q98)*Q71)+((Q94+Q95+Q96)*Q72))/(Q78*Q$22*8760/'Conversion Constants'!$B$22),
                      (((Q93+Q97+Q98)*Q71)+((Q94+Q95+Q96)*Q72))/(Q82*Q$22*8760/'Conversion Constants'!$B$22))</f>
        <v>#VALUE!</v>
      </c>
      <c r="R103" s="123" t="e">
        <f>IF(R81=0,(((R93+R97+R98)*R71)+((R94+R95+R96)*R72))/(R78*R$22*8760/'Conversion Constants'!$B$22),
                      (((R93+R97+R98)*R71)+((R94+R95+R96)*R72))/(R82*R$22*8760/'Conversion Constants'!$B$22))</f>
        <v>#VALUE!</v>
      </c>
      <c r="T103" s="123" t="e">
        <f>IF(T81=0,(((T93+T97+T98)*T71)+((T94+T95+T96)*T72))/(T78*T$22*8760/'Conversion Constants'!$B$22),
                      (((T93+T97+T98)*T71)+((T94+T95+T96)*T72))/(T82*T$22*8760/'Conversion Constants'!$B$22))</f>
        <v>#VALUE!</v>
      </c>
      <c r="U103" s="123" t="e">
        <f>IF(U81=0,(((U93+U97+U98)*U71)+((U94+U95+U96)*U72))/(U78*U$22*8760/'Conversion Constants'!$B$22),
                      (((U93+U97+U98)*U71)+((U94+U95+U96)*U72))/(U82*U$22*8760/'Conversion Constants'!$B$22))</f>
        <v>#VALUE!</v>
      </c>
      <c r="V103" s="123" t="e">
        <f>IF(V81=0,(((V93+V97+V98)*V71)+((V94+V95+V96)*V72))/(V78*V$22*8760/'Conversion Constants'!$B$22),
                      (((V93+V97+V98)*V71)+((V94+V95+V96)*V72))/(V82*V$22*8760/'Conversion Constants'!$B$22))</f>
        <v>#VALUE!</v>
      </c>
      <c r="W103" s="123" t="e">
        <f>IF(W81=0,(((W93+W97+W98)*W71)+((W94+W95+W96)*W72))/(W78*W$22*8760/'Conversion Constants'!$B$22),
                      (((W93+W97+W98)*W71)+((W94+W95+W96)*W72))/(W82*W$22*8760/'Conversion Constants'!$B$22))</f>
        <v>#VALUE!</v>
      </c>
      <c r="X103" s="123" t="e">
        <f>IF(X81=0,(((X93+X97+X98)*X71)+((X94+X95+X96)*X72))/(X78*X$22*8760/'Conversion Constants'!$B$22),
                      (((X93+X97+X98)*X71)+((X94+X95+X96)*X72))/(X82*X$22*8760/'Conversion Constants'!$B$22))</f>
        <v>#VALUE!</v>
      </c>
      <c r="Y103" s="123" t="e">
        <f>IF(Y81=0,(((Y93+Y97+Y98)*Y71)+((Y94+Y95+Y96)*Y72))/(Y78*Y$22*8760/'Conversion Constants'!$B$22),
                      (((Y93+Y97+Y98)*Y71)+((Y94+Y95+Y96)*Y72))/(Y82*Y$22*8760/'Conversion Constants'!$B$22))</f>
        <v>#VALUE!</v>
      </c>
      <c r="Z103" s="123" t="e">
        <f>IF(Z81=0,(((Z93+Z97+Z98)*Z71)+((Z94+Z95+Z96)*Z72))/(Z78*Z$22*8760/'Conversion Constants'!$B$22),
                      (((Z93+Z97+Z98)*Z71)+((Z94+Z95+Z96)*Z72))/(Z82*Z$22*8760/'Conversion Constants'!$B$22))</f>
        <v>#VALUE!</v>
      </c>
      <c r="AA103" s="16"/>
      <c r="AB103" s="196"/>
    </row>
    <row r="104" spans="1:28" ht="14" outlineLevel="1" x14ac:dyDescent="0.25">
      <c r="B104" s="8"/>
      <c r="C104" s="162" t="s">
        <v>139</v>
      </c>
      <c r="D104" s="123" t="e">
        <f>IF(D12=Dropdowns!$E$2,((D101*(D84+D86+D87)/1000*8760*D$22)+(D100*D77/1000*8760*D$22))/(D78*D$22*3600*8760/1000000),
                                                      ((D101*(D84+D86+D87)/1000*8760*D$22)+(D100*D77/1000*8760*D$22))/(D82*D$22*3600*8760/1000000)+D102)</f>
        <v>#VALUE!</v>
      </c>
      <c r="E104" s="123" t="e">
        <f>IF(E12=Dropdowns!$E$2,((E101*(E84+E86+E87)/1000*8760*E$22)+(E100*E77/1000*8760*E$22))/(E78*E$22*3600*8760/1000000),
                                                      ((E101*(E84+E86+E87)/1000*8760*E$22)+(E100*E77/1000*8760*E$22))/(E82*E$22*3600*8760/1000000)+E102)</f>
        <v>#VALUE!</v>
      </c>
      <c r="F104" s="123" t="e">
        <f>IF(F12=Dropdowns!$E$2,((F101*(F84+F86+F87)/1000*8760*F$22)+(F100*F77/1000*8760*F$22))/(F78*F$22*3600*8760/1000000),
                                                      ((F101*(F84+F86+F87)/1000*8760*F$22)+(F100*F77/1000*8760*F$22))/(F82*F$22*3600*8760/1000000)+F102)</f>
        <v>#VALUE!</v>
      </c>
      <c r="G104" s="123" t="e">
        <f>IF(G12=Dropdowns!$E$2,((G101*(G84+G86+G87)/1000*8760*G$22)+(G100*G77/1000*8760*G$22))/(G78*G$22*3600*8760/1000000),
                                                      ((G101*(G84+G86+G87)/1000*8760*G$22)+(G100*G77/1000*8760*G$22))/(G82*G$22*3600*8760/1000000)+G102)</f>
        <v>#VALUE!</v>
      </c>
      <c r="H104" s="123" t="e">
        <f>IF(H12=Dropdowns!$E$2,((H101*(H84+H86+H87)/1000*8760*H$22)+(H100*H77/1000*8760*H$22))/(H78*H$22*3600*8760/1000000),
                                                      ((H101*(H84+H86+H87)/1000*8760*H$22)+(H100*H77/1000*8760*H$22))/(H82*H$22*3600*8760/1000000)+H102)</f>
        <v>#VALUE!</v>
      </c>
      <c r="I104" s="123" t="e">
        <f>IF(I12=Dropdowns!$E$2,((I101*(I84+I86+I87)/1000*8760*I$22)+(I100*I77/1000*8760*I$22))/(I78*I$22*3600*8760/1000000),
                                                      ((I101*(I84+I86+I87)/1000*8760*I$22)+(I100*I77/1000*8760*I$22))/(I82*I$22*3600*8760/1000000)+I102)</f>
        <v>#VALUE!</v>
      </c>
      <c r="J104" s="123" t="e">
        <f>IF(J12=Dropdowns!$E$2,((J101*(J84+J86+J87)/1000*8760*J$22)+(J100*J77/1000*8760*J$22))/(J78*J$22*3600*8760/1000000),
                                                      ((J101*(J84+J86+J87)/1000*8760*J$22)+(J100*J77/1000*8760*J$22))/(J82*J$22*3600*8760/1000000)+J102)</f>
        <v>#VALUE!</v>
      </c>
      <c r="K104" s="16"/>
      <c r="L104" s="123" t="e">
        <f>IF(L12=Dropdowns!$E$2,((L101*(L84+L86+L87)/1000*8760*L$22)+(L100*L77/1000*8760*L$22))/(L78*L$22*3600*8760/1000000),
                                                      ((L101*(L84+L86+L87)/1000*8760*L$22)+(L100*L77/1000*8760*L$22))/(L82*L$22*3600*8760/1000000)+L102)</f>
        <v>#VALUE!</v>
      </c>
      <c r="M104" s="123" t="e">
        <f>IF(M12=Dropdowns!$E$2,((M101*(M84+M86+M87)/1000*8760*M$22)+(M100*M77/1000*8760*M$22))/(M78*M$22*3600*8760/1000000),
                                                      ((M101*(M84+M86+M87)/1000*8760*M$22)+(M100*M77/1000*8760*M$22))/(M82*M$22*3600*8760/1000000)+M102)</f>
        <v>#VALUE!</v>
      </c>
      <c r="N104" s="123" t="e">
        <f>IF(N12=Dropdowns!$E$2,((N101*(N84+N86+N87)/1000*8760*N$22)+(N100*N77/1000*8760*N$22))/(N78*N$22*3600*8760/1000000),
                                                      ((N101*(N84+N86+N87)/1000*8760*N$22)+(N100*N77/1000*8760*N$22))/(N82*N$22*3600*8760/1000000)+N102)</f>
        <v>#VALUE!</v>
      </c>
      <c r="O104" s="123" t="e">
        <f>IF(O12=Dropdowns!$E$2,((O101*(O84+O86+O87)/1000*8760*O$22)+(O100*O77/1000*8760*O$22))/(O78*O$22*3600*8760/1000000),
                                                      ((O101*(O84+O86+O87)/1000*8760*O$22)+(O100*O77/1000*8760*O$22))/(O82*O$22*3600*8760/1000000)+O102)</f>
        <v>#VALUE!</v>
      </c>
      <c r="P104" s="123" t="e">
        <f>IF(P12=Dropdowns!$E$2,((P101*(P84+P86+P87)/1000*8760*P$22)+(P100*P77/1000*8760*P$22))/(P78*P$22*3600*8760/1000000),
                                                      ((P101*(P84+P86+P87)/1000*8760*P$22)+(P100*P77/1000*8760*P$22))/(P82*P$22*3600*8760/1000000)+P102)</f>
        <v>#VALUE!</v>
      </c>
      <c r="Q104" s="123" t="e">
        <f>IF(Q12=Dropdowns!$E$2,((Q101*(Q84+Q86+Q87)/1000*8760*Q$22)+(Q100*Q77/1000*8760*Q$22))/(Q78*Q$22*3600*8760/1000000),
                                                      ((Q101*(Q84+Q86+Q87)/1000*8760*Q$22)+(Q100*Q77/1000*8760*Q$22))/(Q82*Q$22*3600*8760/1000000)+Q102)</f>
        <v>#VALUE!</v>
      </c>
      <c r="R104" s="123" t="e">
        <f>IF(R12=Dropdowns!$E$2,((R101*(R84+R86+R87)/1000*8760*R$22)+(R100*R77/1000*8760*R$22))/(R78*R$22*3600*8760/1000000),
                                                      ((R101*(R84+R86+R87)/1000*8760*R$22)+(R100*R77/1000*8760*R$22))/(R82*R$22*3600*8760/1000000)+R102)</f>
        <v>#VALUE!</v>
      </c>
      <c r="T104" s="123" t="e">
        <f>IF(T12=Dropdowns!$E$2,((T101*(T84+T86+T87)/1000*8760*T$22)+(T100*T77/1000*8760*T$22))/(T78*T$22*3600*8760/1000000),
                                                      ((T101*(T84+T86+T87)/1000*8760*T$22)+(T100*T77/1000*8760*T$22))/(T82*T$22*3600*8760/1000000)+T102)</f>
        <v>#VALUE!</v>
      </c>
      <c r="U104" s="123" t="e">
        <f>IF(U12=Dropdowns!$E$2,((U101*(U84+U86+U87)/1000*8760*U$22)+(U100*U77/1000*8760*U$22))/(U78*U$22*3600*8760/1000000),
                                                      ((U101*(U84+U86+U87)/1000*8760*U$22)+(U100*U77/1000*8760*U$22))/(U82*U$22*3600*8760/1000000)+U102)</f>
        <v>#VALUE!</v>
      </c>
      <c r="V104" s="123" t="e">
        <f>IF(V12=Dropdowns!$E$2,((V101*(V84+V86+V87)/1000*8760*V$22)+(V100*V77/1000*8760*V$22))/(V78*V$22*3600*8760/1000000),
                                                      ((V101*(V84+V86+V87)/1000*8760*V$22)+(V100*V77/1000*8760*V$22))/(V82*V$22*3600*8760/1000000)+V102)</f>
        <v>#VALUE!</v>
      </c>
      <c r="W104" s="123" t="e">
        <f>IF(W12=Dropdowns!$E$2,((W101*(W84+W86+W87)/1000*8760*W$22)+(W100*W77/1000*8760*W$22))/(W78*W$22*3600*8760/1000000),
                                                      ((W101*(W84+W86+W87)/1000*8760*W$22)+(W100*W77/1000*8760*W$22))/(W82*W$22*3600*8760/1000000)+W102)</f>
        <v>#VALUE!</v>
      </c>
      <c r="X104" s="123" t="e">
        <f>IF(X12=Dropdowns!$E$2,((X101*(X84+X86+X87)/1000*8760*X$22)+(X100*X77/1000*8760*X$22))/(X78*X$22*3600*8760/1000000),
                                                      ((X101*(X84+X86+X87)/1000*8760*X$22)+(X100*X77/1000*8760*X$22))/(X82*X$22*3600*8760/1000000)+X102)</f>
        <v>#VALUE!</v>
      </c>
      <c r="Y104" s="123" t="e">
        <f>IF(Y12=Dropdowns!$E$2,((Y101*(Y84+Y86+Y87)/1000*8760*Y$22)+(Y100*Y77/1000*8760*Y$22))/(Y78*Y$22*3600*8760/1000000),
                                                      ((Y101*(Y84+Y86+Y87)/1000*8760*Y$22)+(Y100*Y77/1000*8760*Y$22))/(Y82*Y$22*3600*8760/1000000)+Y102)</f>
        <v>#VALUE!</v>
      </c>
      <c r="Z104" s="123" t="e">
        <f>IF(Z12=Dropdowns!$E$2,((Z101*(Z84+Z86+Z87)/1000*8760*Z$22)+(Z100*Z77/1000*8760*Z$22))/(Z78*Z$22*3600*8760/1000000),
                                                      ((Z101*(Z84+Z86+Z87)/1000*8760*Z$22)+(Z100*Z77/1000*8760*Z$22))/(Z82*Z$22*3600*8760/1000000)+Z102)</f>
        <v>#VALUE!</v>
      </c>
      <c r="AA104" s="16"/>
      <c r="AB104" s="196"/>
    </row>
    <row r="105" spans="1:28" ht="14" outlineLevel="1" x14ac:dyDescent="0.25">
      <c r="B105" s="8"/>
      <c r="C105" s="162" t="s">
        <v>140</v>
      </c>
      <c r="D105" s="123" t="e">
        <f>IF(D12=Dropdowns!$E$2,(D99*D77)/(D78*D$22*3600*8760/1000000),(D99*D77)/(D82*D$22*3600*8760/1000000))</f>
        <v>#VALUE!</v>
      </c>
      <c r="E105" s="123" t="e">
        <f>IF(E12=Dropdowns!$E$2,(E99*E77)/(E78*E$22*3600*8760/1000000),(E99*E77)/(E82*E$22*3600*8760/1000000))</f>
        <v>#VALUE!</v>
      </c>
      <c r="F105" s="123" t="e">
        <f>IF(F12=Dropdowns!$E$2,(F99*F77)/(F78*F$22*3600*8760/1000000),(F99*F77)/(F82*F$22*3600*8760/1000000))</f>
        <v>#VALUE!</v>
      </c>
      <c r="G105" s="123" t="e">
        <f>IF(G12=Dropdowns!$E$2,(G99*G77)/(G78*G$22*3600*8760/1000000),(G99*G77)/(G82*G$22*3600*8760/1000000))</f>
        <v>#VALUE!</v>
      </c>
      <c r="H105" s="123" t="e">
        <f>IF(H12=Dropdowns!$E$2,(H99*H77)/(H78*H$22*3600*8760/1000000),(H99*H77)/(H82*H$22*3600*8760/1000000))</f>
        <v>#VALUE!</v>
      </c>
      <c r="I105" s="123" t="e">
        <f>IF(I12=Dropdowns!$E$2,(I99*I77)/(I78*I$22*3600*8760/1000000),(I99*I77)/(I82*I$22*3600*8760/1000000))</f>
        <v>#VALUE!</v>
      </c>
      <c r="J105" s="123" t="e">
        <f>IF(J12=Dropdowns!$E$2,(J99*J77)/(J78*J$22*3600*8760/1000000),(J99*J77)/(J82*J$22*3600*8760/1000000))</f>
        <v>#VALUE!</v>
      </c>
      <c r="K105" s="16"/>
      <c r="L105" s="123" t="e">
        <f>IF(L12=Dropdowns!$E$2,(L99*L77)/(L78*L$22*3600*8760/1000000),(L99*L77)/(L82*L$22*3600*8760/1000000))</f>
        <v>#VALUE!</v>
      </c>
      <c r="M105" s="123" t="e">
        <f>IF(M12=Dropdowns!$E$2,(M99*M77)/(M78*M$22*3600*8760/1000000),(M99*M77)/(M82*M$22*3600*8760/1000000))</f>
        <v>#VALUE!</v>
      </c>
      <c r="N105" s="123" t="e">
        <f>IF(N12=Dropdowns!$E$2,(N99*N77)/(N78*N$22*3600*8760/1000000),(N99*N77)/(N82*N$22*3600*8760/1000000))</f>
        <v>#VALUE!</v>
      </c>
      <c r="O105" s="123" t="e">
        <f>IF(O12=Dropdowns!$E$2,(O99*O77)/(O78*O$22*3600*8760/1000000),(O99*O77)/(O82*O$22*3600*8760/1000000))</f>
        <v>#VALUE!</v>
      </c>
      <c r="P105" s="123" t="e">
        <f>IF(P12=Dropdowns!$E$2,(P99*P77)/(P78*P$22*3600*8760/1000000),(P99*P77)/(P82*P$22*3600*8760/1000000))</f>
        <v>#VALUE!</v>
      </c>
      <c r="Q105" s="123" t="e">
        <f>IF(Q12=Dropdowns!$E$2,(Q99*Q77)/(Q78*Q$22*3600*8760/1000000),(Q99*Q77)/(Q82*Q$22*3600*8760/1000000))</f>
        <v>#VALUE!</v>
      </c>
      <c r="R105" s="123" t="e">
        <f>IF(R12=Dropdowns!$E$2,(R99*R77)/(R78*R$22*3600*8760/1000000),(R99*R77)/(R82*R$22*3600*8760/1000000))</f>
        <v>#VALUE!</v>
      </c>
      <c r="T105" s="123" t="e">
        <f>IF(T12=Dropdowns!$E$2,(T99*T77)/(T78*T$22*3600*8760/1000000),(T99*T77)/(T82*T$22*3600*8760/1000000))</f>
        <v>#VALUE!</v>
      </c>
      <c r="U105" s="123" t="e">
        <f>IF(U12=Dropdowns!$E$2,(U99*U77)/(U78*U$22*3600*8760/1000000),(U99*U77)/(U82*U$22*3600*8760/1000000))</f>
        <v>#VALUE!</v>
      </c>
      <c r="V105" s="123" t="e">
        <f>IF(V12=Dropdowns!$E$2,(V99*V77)/(V78*V$22*3600*8760/1000000),(V99*V77)/(V82*V$22*3600*8760/1000000))</f>
        <v>#VALUE!</v>
      </c>
      <c r="W105" s="123" t="e">
        <f>IF(W12=Dropdowns!$E$2,(W99*W77)/(W78*W$22*3600*8760/1000000),(W99*W77)/(W82*W$22*3600*8760/1000000))</f>
        <v>#VALUE!</v>
      </c>
      <c r="X105" s="123" t="e">
        <f>IF(X12=Dropdowns!$E$2,(X99*X77)/(X78*X$22*3600*8760/1000000),(X99*X77)/(X82*X$22*3600*8760/1000000))</f>
        <v>#VALUE!</v>
      </c>
      <c r="Y105" s="123" t="e">
        <f>IF(Y12=Dropdowns!$E$2,(Y99*Y77)/(Y78*Y$22*3600*8760/1000000),(Y99*Y77)/(Y82*Y$22*3600*8760/1000000))</f>
        <v>#VALUE!</v>
      </c>
      <c r="Z105" s="123" t="e">
        <f>IF(Z12=Dropdowns!$E$2,(Z99*Z77)/(Z78*Z$22*3600*8760/1000000),(Z99*Z77)/(Z82*Z$22*3600*8760/1000000))</f>
        <v>#VALUE!</v>
      </c>
      <c r="AA105" s="16"/>
      <c r="AB105" s="196"/>
    </row>
    <row r="106" spans="1:28" ht="14" outlineLevel="1" x14ac:dyDescent="0.25">
      <c r="B106" s="8"/>
      <c r="C106" s="162" t="s">
        <v>141</v>
      </c>
      <c r="D106" s="125" t="e">
        <f t="shared" ref="D106:J106" si="41">D90*D62/(D92*3600/1000000)/1000</f>
        <v>#VALUE!</v>
      </c>
      <c r="E106" s="125" t="e">
        <f t="shared" si="41"/>
        <v>#VALUE!</v>
      </c>
      <c r="F106" s="125" t="e">
        <f t="shared" si="41"/>
        <v>#VALUE!</v>
      </c>
      <c r="G106" s="125" t="e">
        <f t="shared" si="41"/>
        <v>#VALUE!</v>
      </c>
      <c r="H106" s="125" t="e">
        <f t="shared" si="41"/>
        <v>#VALUE!</v>
      </c>
      <c r="I106" s="125" t="e">
        <f t="shared" si="41"/>
        <v>#VALUE!</v>
      </c>
      <c r="J106" s="125" t="e">
        <f t="shared" si="41"/>
        <v>#VALUE!</v>
      </c>
      <c r="K106" s="16"/>
      <c r="L106" s="125" t="e">
        <f t="shared" ref="L106:R106" si="42">L90*L62/(L92*3600/1000000)/1000</f>
        <v>#VALUE!</v>
      </c>
      <c r="M106" s="125" t="e">
        <f t="shared" si="42"/>
        <v>#VALUE!</v>
      </c>
      <c r="N106" s="125" t="e">
        <f t="shared" si="42"/>
        <v>#VALUE!</v>
      </c>
      <c r="O106" s="125" t="e">
        <f t="shared" si="42"/>
        <v>#VALUE!</v>
      </c>
      <c r="P106" s="125" t="e">
        <f t="shared" si="42"/>
        <v>#VALUE!</v>
      </c>
      <c r="Q106" s="125" t="e">
        <f t="shared" si="42"/>
        <v>#VALUE!</v>
      </c>
      <c r="R106" s="125" t="e">
        <f t="shared" si="42"/>
        <v>#VALUE!</v>
      </c>
      <c r="T106" s="125" t="e">
        <f t="shared" ref="T106:Z106" si="43">T90*T62/(T92*3600/1000000)/1000</f>
        <v>#VALUE!</v>
      </c>
      <c r="U106" s="125" t="e">
        <f t="shared" si="43"/>
        <v>#VALUE!</v>
      </c>
      <c r="V106" s="125" t="e">
        <f t="shared" si="43"/>
        <v>#VALUE!</v>
      </c>
      <c r="W106" s="125" t="e">
        <f t="shared" si="43"/>
        <v>#VALUE!</v>
      </c>
      <c r="X106" s="125" t="e">
        <f t="shared" si="43"/>
        <v>#VALUE!</v>
      </c>
      <c r="Y106" s="125" t="e">
        <f t="shared" si="43"/>
        <v>#VALUE!</v>
      </c>
      <c r="Z106" s="125" t="e">
        <f t="shared" si="43"/>
        <v>#VALUE!</v>
      </c>
      <c r="AA106" s="16"/>
      <c r="AB106" s="196"/>
    </row>
    <row r="107" spans="1:28" ht="14" outlineLevel="1" x14ac:dyDescent="0.25">
      <c r="B107" s="8"/>
      <c r="C107" s="162" t="s">
        <v>142</v>
      </c>
      <c r="D107" s="125" t="e">
        <f t="shared" ref="D107:J107" si="44">D89*D63/(D92*3600/1000000)/1000</f>
        <v>#VALUE!</v>
      </c>
      <c r="E107" s="125" t="e">
        <f t="shared" si="44"/>
        <v>#VALUE!</v>
      </c>
      <c r="F107" s="125" t="e">
        <f t="shared" si="44"/>
        <v>#VALUE!</v>
      </c>
      <c r="G107" s="125" t="e">
        <f t="shared" si="44"/>
        <v>#VALUE!</v>
      </c>
      <c r="H107" s="125" t="e">
        <f t="shared" si="44"/>
        <v>#VALUE!</v>
      </c>
      <c r="I107" s="125" t="e">
        <f t="shared" si="44"/>
        <v>#VALUE!</v>
      </c>
      <c r="J107" s="125" t="e">
        <f t="shared" si="44"/>
        <v>#VALUE!</v>
      </c>
      <c r="K107" s="16"/>
      <c r="L107" s="125" t="e">
        <f t="shared" ref="L107:R107" si="45">L89*L63/(L92*3600/1000000)/1000</f>
        <v>#VALUE!</v>
      </c>
      <c r="M107" s="125" t="e">
        <f t="shared" si="45"/>
        <v>#VALUE!</v>
      </c>
      <c r="N107" s="125" t="e">
        <f t="shared" si="45"/>
        <v>#VALUE!</v>
      </c>
      <c r="O107" s="125" t="e">
        <f t="shared" si="45"/>
        <v>#VALUE!</v>
      </c>
      <c r="P107" s="125" t="e">
        <f t="shared" si="45"/>
        <v>#VALUE!</v>
      </c>
      <c r="Q107" s="125" t="e">
        <f t="shared" si="45"/>
        <v>#VALUE!</v>
      </c>
      <c r="R107" s="125" t="e">
        <f t="shared" si="45"/>
        <v>#VALUE!</v>
      </c>
      <c r="T107" s="125" t="e">
        <f t="shared" ref="T107:Z107" si="46">T89*T63/(T92*3600/1000000)/1000</f>
        <v>#VALUE!</v>
      </c>
      <c r="U107" s="125" t="e">
        <f t="shared" si="46"/>
        <v>#VALUE!</v>
      </c>
      <c r="V107" s="125" t="e">
        <f t="shared" si="46"/>
        <v>#VALUE!</v>
      </c>
      <c r="W107" s="125" t="e">
        <f t="shared" si="46"/>
        <v>#VALUE!</v>
      </c>
      <c r="X107" s="125" t="e">
        <f t="shared" si="46"/>
        <v>#VALUE!</v>
      </c>
      <c r="Y107" s="125" t="e">
        <f t="shared" si="46"/>
        <v>#VALUE!</v>
      </c>
      <c r="Z107" s="125" t="e">
        <f t="shared" si="46"/>
        <v>#VALUE!</v>
      </c>
      <c r="AA107" s="16"/>
      <c r="AB107" s="196"/>
    </row>
    <row r="108" spans="1:28" x14ac:dyDescent="0.25">
      <c r="B108" s="8"/>
      <c r="AA108" s="8"/>
    </row>
    <row r="109" spans="1:28" s="1" customFormat="1" ht="18.5" thickBot="1" x14ac:dyDescent="0.3">
      <c r="A109" s="1" t="s">
        <v>143</v>
      </c>
      <c r="C109" s="158"/>
      <c r="D109" s="99"/>
      <c r="E109" s="99"/>
      <c r="F109" s="99"/>
      <c r="G109" s="99"/>
      <c r="H109" s="99"/>
      <c r="I109" s="99"/>
      <c r="J109" s="99"/>
      <c r="L109" s="99"/>
      <c r="M109" s="99"/>
      <c r="N109" s="99"/>
      <c r="O109" s="99"/>
      <c r="P109" s="99"/>
      <c r="Q109" s="99"/>
      <c r="R109" s="99"/>
      <c r="S109" s="98"/>
      <c r="T109" s="99"/>
      <c r="U109" s="99"/>
      <c r="V109" s="99"/>
      <c r="W109" s="99"/>
      <c r="X109" s="99"/>
      <c r="Y109" s="99"/>
      <c r="Z109" s="99"/>
      <c r="AB109" s="197"/>
    </row>
    <row r="111" spans="1:28" ht="23" x14ac:dyDescent="0.25">
      <c r="B111" s="8"/>
      <c r="C111" s="159" t="s">
        <v>144</v>
      </c>
      <c r="D111" s="121" t="e">
        <f t="shared" ref="D111" si="47">D106+D107</f>
        <v>#VALUE!</v>
      </c>
      <c r="E111" s="121" t="e">
        <f t="shared" ref="E111:Z111" si="48">E106+E107</f>
        <v>#VALUE!</v>
      </c>
      <c r="F111" s="121" t="e">
        <f t="shared" si="48"/>
        <v>#VALUE!</v>
      </c>
      <c r="G111" s="121" t="e">
        <f t="shared" si="48"/>
        <v>#VALUE!</v>
      </c>
      <c r="H111" s="121" t="e">
        <f t="shared" si="48"/>
        <v>#VALUE!</v>
      </c>
      <c r="I111" s="121" t="e">
        <f t="shared" si="48"/>
        <v>#VALUE!</v>
      </c>
      <c r="J111" s="121" t="e">
        <f t="shared" si="48"/>
        <v>#VALUE!</v>
      </c>
      <c r="K111" s="16"/>
      <c r="L111" s="121" t="e">
        <f t="shared" si="48"/>
        <v>#VALUE!</v>
      </c>
      <c r="M111" s="121" t="e">
        <f t="shared" si="48"/>
        <v>#VALUE!</v>
      </c>
      <c r="N111" s="121" t="e">
        <f t="shared" si="48"/>
        <v>#VALUE!</v>
      </c>
      <c r="O111" s="121" t="e">
        <f t="shared" si="48"/>
        <v>#VALUE!</v>
      </c>
      <c r="P111" s="121" t="e">
        <f t="shared" si="48"/>
        <v>#VALUE!</v>
      </c>
      <c r="Q111" s="121" t="e">
        <f t="shared" si="48"/>
        <v>#VALUE!</v>
      </c>
      <c r="R111" s="121" t="e">
        <f t="shared" si="48"/>
        <v>#VALUE!</v>
      </c>
      <c r="T111" s="121" t="e">
        <f t="shared" si="48"/>
        <v>#VALUE!</v>
      </c>
      <c r="U111" s="121" t="e">
        <f t="shared" si="48"/>
        <v>#VALUE!</v>
      </c>
      <c r="V111" s="121" t="e">
        <f t="shared" si="48"/>
        <v>#VALUE!</v>
      </c>
      <c r="W111" s="121" t="e">
        <f t="shared" si="48"/>
        <v>#VALUE!</v>
      </c>
      <c r="X111" s="121" t="e">
        <f t="shared" si="48"/>
        <v>#VALUE!</v>
      </c>
      <c r="Y111" s="121" t="e">
        <f t="shared" si="48"/>
        <v>#VALUE!</v>
      </c>
      <c r="Z111" s="121" t="e">
        <f t="shared" si="48"/>
        <v>#VALUE!</v>
      </c>
      <c r="AA111" s="16"/>
      <c r="AB111" s="195" t="s">
        <v>145</v>
      </c>
    </row>
    <row r="112" spans="1:28" ht="14" x14ac:dyDescent="0.25">
      <c r="B112" s="8"/>
      <c r="C112" s="159" t="s">
        <v>146</v>
      </c>
      <c r="D112" s="121" t="e">
        <f>IF(D81=0,D93*D71/(D78*D$22*8760/'Conversion Constants'!$B$22),
                      D93*D71/(D82*D$22*8760/'Conversion Constants'!$B$22))</f>
        <v>#VALUE!</v>
      </c>
      <c r="E112" s="121" t="e">
        <f>IF(E81=0,E93*E71/(E78*E$22*8760/'Conversion Constants'!$B$22),
                      E93*E71/(E82*E$22*8760/'Conversion Constants'!$B$22))</f>
        <v>#VALUE!</v>
      </c>
      <c r="F112" s="121" t="e">
        <f>IF(F81=0,F93*F71/(F78*F$22*8760/'Conversion Constants'!$B$22),
                      F93*F71/(F82*F$22*8760/'Conversion Constants'!$B$22))</f>
        <v>#VALUE!</v>
      </c>
      <c r="G112" s="121" t="e">
        <f>IF(G81=0,G93*G71/(G78*G$22*8760/'Conversion Constants'!$B$22),
                      G93*G71/(G82*G$22*8760/'Conversion Constants'!$B$22))</f>
        <v>#VALUE!</v>
      </c>
      <c r="H112" s="121" t="e">
        <f>IF(H81=0,H93*H71/(H78*H$22*8760/'Conversion Constants'!$B$22),
                      H93*H71/(H82*H$22*8760/'Conversion Constants'!$B$22))</f>
        <v>#VALUE!</v>
      </c>
      <c r="I112" s="121" t="e">
        <f>IF(I81=0,I93*I71/(I78*I$22*8760/'Conversion Constants'!$B$22),
                      I93*I71/(I82*I$22*8760/'Conversion Constants'!$B$22))</f>
        <v>#VALUE!</v>
      </c>
      <c r="J112" s="121" t="e">
        <f>IF(J81=0,J93*J71/(J78*J$22*8760/'Conversion Constants'!$B$22),
                      J93*J71/(J82*J$22*8760/'Conversion Constants'!$B$22))</f>
        <v>#VALUE!</v>
      </c>
      <c r="K112" s="16"/>
      <c r="L112" s="121" t="e">
        <f>IF(L81=0,L93*L71/(L78*L$22*8760/'Conversion Constants'!$B$22),
                      L93*L71/(L82*L$22*8760/'Conversion Constants'!$B$22))</f>
        <v>#VALUE!</v>
      </c>
      <c r="M112" s="121" t="e">
        <f>IF(M81=0,M93*M71/(M78*M$22*8760/'Conversion Constants'!$B$22),
                      M93*M71/(M82*M$22*8760/'Conversion Constants'!$B$22))</f>
        <v>#VALUE!</v>
      </c>
      <c r="N112" s="121" t="e">
        <f>IF(N81=0,N93*N71/(N78*N$22*8760/'Conversion Constants'!$B$22),
                      N93*N71/(N82*N$22*8760/'Conversion Constants'!$B$22))</f>
        <v>#VALUE!</v>
      </c>
      <c r="O112" s="121" t="e">
        <f>IF(O81=0,O93*O71/(O78*O$22*8760/'Conversion Constants'!$B$22),
                      O93*O71/(O82*O$22*8760/'Conversion Constants'!$B$22))</f>
        <v>#VALUE!</v>
      </c>
      <c r="P112" s="121" t="e">
        <f>IF(P81=0,P93*P71/(P78*P$22*8760/'Conversion Constants'!$B$22),
                      P93*P71/(P82*P$22*8760/'Conversion Constants'!$B$22))</f>
        <v>#VALUE!</v>
      </c>
      <c r="Q112" s="121" t="e">
        <f>IF(Q81=0,Q93*Q71/(Q78*Q$22*8760/'Conversion Constants'!$B$22),
                      Q93*Q71/(Q82*Q$22*8760/'Conversion Constants'!$B$22))</f>
        <v>#VALUE!</v>
      </c>
      <c r="R112" s="121" t="e">
        <f>IF(R81=0,R93*R71/(R78*R$22*8760/'Conversion Constants'!$B$22),
                      R93*R71/(R82*R$22*8760/'Conversion Constants'!$B$22))</f>
        <v>#VALUE!</v>
      </c>
      <c r="T112" s="121" t="e">
        <f>IF(T81=0,T93*T71/(T78*T$22*8760/'Conversion Constants'!$B$22),
                      T93*T71/(T82*T$22*8760/'Conversion Constants'!$B$22))</f>
        <v>#VALUE!</v>
      </c>
      <c r="U112" s="121" t="e">
        <f>IF(U81=0,U93*U71/(U78*U$22*8760/'Conversion Constants'!$B$22),
                      U93*U71/(U82*U$22*8760/'Conversion Constants'!$B$22))</f>
        <v>#VALUE!</v>
      </c>
      <c r="V112" s="121" t="e">
        <f>IF(V81=0,V93*V71/(V78*V$22*8760/'Conversion Constants'!$B$22),
                      V93*V71/(V82*V$22*8760/'Conversion Constants'!$B$22))</f>
        <v>#VALUE!</v>
      </c>
      <c r="W112" s="121" t="e">
        <f>IF(W81=0,W93*W71/(W78*W$22*8760/'Conversion Constants'!$B$22),
                      W93*W71/(W82*W$22*8760/'Conversion Constants'!$B$22))</f>
        <v>#VALUE!</v>
      </c>
      <c r="X112" s="121" t="e">
        <f>IF(X81=0,X93*X71/(X78*X$22*8760/'Conversion Constants'!$B$22),
                      X93*X71/(X82*X$22*8760/'Conversion Constants'!$B$22))</f>
        <v>#VALUE!</v>
      </c>
      <c r="Y112" s="121" t="e">
        <f>IF(Y81=0,Y93*Y71/(Y78*Y$22*8760/'Conversion Constants'!$B$22),
                      Y93*Y71/(Y82*Y$22*8760/'Conversion Constants'!$B$22))</f>
        <v>#VALUE!</v>
      </c>
      <c r="Z112" s="121" t="e">
        <f>IF(Z81=0,Z93*Z71/(Z78*Z$22*8760/'Conversion Constants'!$B$22),
                      Z93*Z71/(Z82*Z$22*8760/'Conversion Constants'!$B$22))</f>
        <v>#VALUE!</v>
      </c>
      <c r="AA112" s="16"/>
      <c r="AB112" s="195" t="s">
        <v>147</v>
      </c>
    </row>
    <row r="113" spans="1:28" ht="23" x14ac:dyDescent="0.25">
      <c r="B113" s="8"/>
      <c r="C113" s="159" t="s">
        <v>148</v>
      </c>
      <c r="D113" s="121" t="e">
        <f>IF(D81=0,(D94*D72)/(D78*D$22*8760/'Conversion Constants'!$B$22),
                      (D94*D72)/(D82*D$22*8760/'Conversion Constants'!$B$22))</f>
        <v>#VALUE!</v>
      </c>
      <c r="E113" s="121" t="e">
        <f>IF(E81=0,(E94*E72)/(E78*E$22*8760/'Conversion Constants'!$B$22),
                      (E94*E72)/(E82*E$22*8760/'Conversion Constants'!$B$22))</f>
        <v>#VALUE!</v>
      </c>
      <c r="F113" s="121" t="e">
        <f>IF(F81=0,(F94*F72)/(F78*F$22*8760/'Conversion Constants'!$B$22),
                      (F94*F72)/(F82*F$22*8760/'Conversion Constants'!$B$22))</f>
        <v>#VALUE!</v>
      </c>
      <c r="G113" s="121" t="e">
        <f>IF(G81=0,(G94*G72)/(G78*G$22*8760/'Conversion Constants'!$B$22),
                      (G94*G72)/(G82*G$22*8760/'Conversion Constants'!$B$22))</f>
        <v>#VALUE!</v>
      </c>
      <c r="H113" s="121" t="e">
        <f>IF(H81=0,(H94*H72)/(H78*H$22*8760/'Conversion Constants'!$B$22),
                      (H94*H72)/(H82*H$22*8760/'Conversion Constants'!$B$22))</f>
        <v>#VALUE!</v>
      </c>
      <c r="I113" s="121" t="e">
        <f>IF(I81=0,(I94*I72)/(I78*I$22*8760/'Conversion Constants'!$B$22),
                      (I94*I72)/(I82*I$22*8760/'Conversion Constants'!$B$22))</f>
        <v>#VALUE!</v>
      </c>
      <c r="J113" s="121" t="e">
        <f>IF(J81=0,(J94*J72)/(J78*J$22*8760/'Conversion Constants'!$B$22),
                      (J94*J72)/(J82*J$22*8760/'Conversion Constants'!$B$22))</f>
        <v>#VALUE!</v>
      </c>
      <c r="K113" s="16"/>
      <c r="L113" s="121" t="e">
        <f>IF(L81=0,(L94*L72)/(L78*L$22*8760/'Conversion Constants'!$B$22),
                      (L94*L72)/(L82*L$22*8760/'Conversion Constants'!$B$22))</f>
        <v>#VALUE!</v>
      </c>
      <c r="M113" s="121" t="e">
        <f>IF(M81=0,(M94*M72)/(M78*M$22*8760/'Conversion Constants'!$B$22),
                      (M94*M72)/(M82*M$22*8760/'Conversion Constants'!$B$22))</f>
        <v>#VALUE!</v>
      </c>
      <c r="N113" s="121" t="e">
        <f>IF(N81=0,(N94*N72)/(N78*N$22*8760/'Conversion Constants'!$B$22),
                      (N94*N72)/(N82*N$22*8760/'Conversion Constants'!$B$22))</f>
        <v>#VALUE!</v>
      </c>
      <c r="O113" s="121" t="e">
        <f>IF(O81=0,(O94*O72)/(O78*O$22*8760/'Conversion Constants'!$B$22),
                      (O94*O72)/(O82*O$22*8760/'Conversion Constants'!$B$22))</f>
        <v>#VALUE!</v>
      </c>
      <c r="P113" s="121" t="e">
        <f>IF(P81=0,(P94*P72)/(P78*P$22*8760/'Conversion Constants'!$B$22),
                      (P94*P72)/(P82*P$22*8760/'Conversion Constants'!$B$22))</f>
        <v>#VALUE!</v>
      </c>
      <c r="Q113" s="121" t="e">
        <f>IF(Q81=0,(Q94*Q72)/(Q78*Q$22*8760/'Conversion Constants'!$B$22),
                      (Q94*Q72)/(Q82*Q$22*8760/'Conversion Constants'!$B$22))</f>
        <v>#VALUE!</v>
      </c>
      <c r="R113" s="121" t="e">
        <f>IF(R81=0,(R94*R72)/(R78*R$22*8760/'Conversion Constants'!$B$22),
                      (R94*R72)/(R82*R$22*8760/'Conversion Constants'!$B$22))</f>
        <v>#VALUE!</v>
      </c>
      <c r="T113" s="121" t="e">
        <f>IF(T81=0,(T94*T72)/(T78*T$22*8760/'Conversion Constants'!$B$22),
                      (T94*T72)/(T82*T$22*8760/'Conversion Constants'!$B$22))</f>
        <v>#VALUE!</v>
      </c>
      <c r="U113" s="121" t="e">
        <f>IF(U81=0,(U94*U72)/(U78*U$22*8760/'Conversion Constants'!$B$22),
                      (U94*U72)/(U82*U$22*8760/'Conversion Constants'!$B$22))</f>
        <v>#VALUE!</v>
      </c>
      <c r="V113" s="121" t="e">
        <f>IF(V81=0,(V94*V72)/(V78*V$22*8760/'Conversion Constants'!$B$22),
                      (V94*V72)/(V82*V$22*8760/'Conversion Constants'!$B$22))</f>
        <v>#VALUE!</v>
      </c>
      <c r="W113" s="121" t="e">
        <f>IF(W81=0,(W94*W72)/(W78*W$22*8760/'Conversion Constants'!$B$22),
                      (W94*W72)/(W82*W$22*8760/'Conversion Constants'!$B$22))</f>
        <v>#VALUE!</v>
      </c>
      <c r="X113" s="121" t="e">
        <f>IF(X81=0,(X94*X72)/(X78*X$22*8760/'Conversion Constants'!$B$22),
                      (X94*X72)/(X82*X$22*8760/'Conversion Constants'!$B$22))</f>
        <v>#VALUE!</v>
      </c>
      <c r="Y113" s="121" t="e">
        <f>IF(Y81=0,(Y94*Y72)/(Y78*Y$22*8760/'Conversion Constants'!$B$22),
                      (Y94*Y72)/(Y82*Y$22*8760/'Conversion Constants'!$B$22))</f>
        <v>#VALUE!</v>
      </c>
      <c r="Z113" s="121" t="e">
        <f>IF(Z81=0,(Z94*Z72)/(Z78*Z$22*8760/'Conversion Constants'!$B$22),
                      (Z94*Z72)/(Z82*Z$22*8760/'Conversion Constants'!$B$22))</f>
        <v>#VALUE!</v>
      </c>
      <c r="AA113" s="16"/>
      <c r="AB113" s="195" t="s">
        <v>149</v>
      </c>
    </row>
    <row r="114" spans="1:28" ht="14" x14ac:dyDescent="0.25">
      <c r="B114" s="8"/>
      <c r="C114" s="159" t="s">
        <v>150</v>
      </c>
      <c r="D114" s="121" t="e">
        <f>IF(D81=0,(D95*D72)/(D78*D$22*8760/'Conversion Constants'!$B$22),
                      (D95*D72)/(D82*D$22*8760/'Conversion Constants'!$B$22))</f>
        <v>#VALUE!</v>
      </c>
      <c r="E114" s="121" t="e">
        <f>IF(E81=0,(E95*E72)/(E78*E$22*8760/'Conversion Constants'!$B$22),
                      (E95*E72)/(E82*E$22*8760/'Conversion Constants'!$B$22))</f>
        <v>#VALUE!</v>
      </c>
      <c r="F114" s="121" t="e">
        <f>IF(F81=0,(F95*F72)/(F78*F$22*8760/'Conversion Constants'!$B$22),
                      (F95*F72)/(F82*F$22*8760/'Conversion Constants'!$B$22))</f>
        <v>#VALUE!</v>
      </c>
      <c r="G114" s="121" t="e">
        <f>IF(G81=0,(G95*G72)/(G78*G$22*8760/'Conversion Constants'!$B$22),
                      (G95*G72)/(G82*G$22*8760/'Conversion Constants'!$B$22))</f>
        <v>#VALUE!</v>
      </c>
      <c r="H114" s="121" t="e">
        <f>IF(H81=0,(H95*H72)/(H78*H$22*8760/'Conversion Constants'!$B$22),
                      (H95*H72)/(H82*H$22*8760/'Conversion Constants'!$B$22))</f>
        <v>#VALUE!</v>
      </c>
      <c r="I114" s="121" t="e">
        <f>IF(I81=0,(I95*I72)/(I78*I$22*8760/'Conversion Constants'!$B$22),
                      (I95*I72)/(I82*I$22*8760/'Conversion Constants'!$B$22))</f>
        <v>#VALUE!</v>
      </c>
      <c r="J114" s="121" t="e">
        <f>IF(J81=0,(J95*J72)/(J78*J$22*8760/'Conversion Constants'!$B$22),
                      (J95*J72)/(J82*J$22*8760/'Conversion Constants'!$B$22))</f>
        <v>#VALUE!</v>
      </c>
      <c r="K114" s="16"/>
      <c r="L114" s="121" t="e">
        <f>IF(L81=0,(L95*L72)/(L78*L$22*8760/'Conversion Constants'!$B$22),
                      (L95*L72)/(L82*L$22*8760/'Conversion Constants'!$B$22))</f>
        <v>#VALUE!</v>
      </c>
      <c r="M114" s="121" t="e">
        <f>IF(M81=0,(M95*M72)/(M78*M$22*8760/'Conversion Constants'!$B$22),
                      (M95*M72)/(M82*M$22*8760/'Conversion Constants'!$B$22))</f>
        <v>#VALUE!</v>
      </c>
      <c r="N114" s="121" t="e">
        <f>IF(N81=0,(N95*N72)/(N78*N$22*8760/'Conversion Constants'!$B$22),
                      (N95*N72)/(N82*N$22*8760/'Conversion Constants'!$B$22))</f>
        <v>#VALUE!</v>
      </c>
      <c r="O114" s="121" t="e">
        <f>IF(O81=0,(O95*O72)/(O78*O$22*8760/'Conversion Constants'!$B$22),
                      (O95*O72)/(O82*O$22*8760/'Conversion Constants'!$B$22))</f>
        <v>#VALUE!</v>
      </c>
      <c r="P114" s="121" t="e">
        <f>IF(P81=0,(P95*P72)/(P78*P$22*8760/'Conversion Constants'!$B$22),
                      (P95*P72)/(P82*P$22*8760/'Conversion Constants'!$B$22))</f>
        <v>#VALUE!</v>
      </c>
      <c r="Q114" s="121" t="e">
        <f>IF(Q81=0,(Q95*Q72)/(Q78*Q$22*8760/'Conversion Constants'!$B$22),
                      (Q95*Q72)/(Q82*Q$22*8760/'Conversion Constants'!$B$22))</f>
        <v>#VALUE!</v>
      </c>
      <c r="R114" s="121" t="e">
        <f>IF(R81=0,(R95*R72)/(R78*R$22*8760/'Conversion Constants'!$B$22),
                      (R95*R72)/(R82*R$22*8760/'Conversion Constants'!$B$22))</f>
        <v>#VALUE!</v>
      </c>
      <c r="T114" s="121" t="e">
        <f>IF(T81=0,(T95*T72)/(T78*T$22*8760/'Conversion Constants'!$B$22),
                      (T95*T72)/(T82*T$22*8760/'Conversion Constants'!$B$22))</f>
        <v>#VALUE!</v>
      </c>
      <c r="U114" s="121" t="e">
        <f>IF(U81=0,(U95*U72)/(U78*U$22*8760/'Conversion Constants'!$B$22),
                      (U95*U72)/(U82*U$22*8760/'Conversion Constants'!$B$22))</f>
        <v>#VALUE!</v>
      </c>
      <c r="V114" s="121" t="e">
        <f>IF(V81=0,(V95*V72)/(V78*V$22*8760/'Conversion Constants'!$B$22),
                      (V95*V72)/(V82*V$22*8760/'Conversion Constants'!$B$22))</f>
        <v>#VALUE!</v>
      </c>
      <c r="W114" s="121" t="e">
        <f>IF(W81=0,(W95*W72)/(W78*W$22*8760/'Conversion Constants'!$B$22),
                      (W95*W72)/(W82*W$22*8760/'Conversion Constants'!$B$22))</f>
        <v>#VALUE!</v>
      </c>
      <c r="X114" s="121" t="e">
        <f>IF(X81=0,(X95*X72)/(X78*X$22*8760/'Conversion Constants'!$B$22),
                      (X95*X72)/(X82*X$22*8760/'Conversion Constants'!$B$22))</f>
        <v>#VALUE!</v>
      </c>
      <c r="Y114" s="121" t="e">
        <f>IF(Y81=0,(Y95*Y72)/(Y78*Y$22*8760/'Conversion Constants'!$B$22),
                      (Y95*Y72)/(Y82*Y$22*8760/'Conversion Constants'!$B$22))</f>
        <v>#VALUE!</v>
      </c>
      <c r="Z114" s="121" t="e">
        <f>IF(Z81=0,(Z95*Z72)/(Z78*Z$22*8760/'Conversion Constants'!$B$22),
                      (Z95*Z72)/(Z82*Z$22*8760/'Conversion Constants'!$B$22))</f>
        <v>#VALUE!</v>
      </c>
      <c r="AA114" s="16"/>
      <c r="AB114" s="195" t="s">
        <v>151</v>
      </c>
    </row>
    <row r="115" spans="1:28" ht="23" x14ac:dyDescent="0.25">
      <c r="B115" s="8"/>
      <c r="C115" s="159" t="s">
        <v>152</v>
      </c>
      <c r="D115" s="121" t="e">
        <f t="shared" ref="D115:J115" si="49">D103-SUM(D112:D114)</f>
        <v>#VALUE!</v>
      </c>
      <c r="E115" s="121" t="e">
        <f t="shared" si="49"/>
        <v>#VALUE!</v>
      </c>
      <c r="F115" s="121" t="e">
        <f t="shared" si="49"/>
        <v>#VALUE!</v>
      </c>
      <c r="G115" s="121" t="e">
        <f t="shared" si="49"/>
        <v>#VALUE!</v>
      </c>
      <c r="H115" s="121" t="e">
        <f t="shared" si="49"/>
        <v>#VALUE!</v>
      </c>
      <c r="I115" s="121" t="e">
        <f t="shared" si="49"/>
        <v>#VALUE!</v>
      </c>
      <c r="J115" s="121" t="e">
        <f t="shared" si="49"/>
        <v>#VALUE!</v>
      </c>
      <c r="K115" s="16"/>
      <c r="L115" s="121" t="e">
        <f t="shared" ref="L115:R115" si="50">L103-SUM(L112:L114)</f>
        <v>#VALUE!</v>
      </c>
      <c r="M115" s="121" t="e">
        <f t="shared" si="50"/>
        <v>#VALUE!</v>
      </c>
      <c r="N115" s="121" t="e">
        <f t="shared" si="50"/>
        <v>#VALUE!</v>
      </c>
      <c r="O115" s="121" t="e">
        <f t="shared" si="50"/>
        <v>#VALUE!</v>
      </c>
      <c r="P115" s="121" t="e">
        <f t="shared" si="50"/>
        <v>#VALUE!</v>
      </c>
      <c r="Q115" s="121" t="e">
        <f t="shared" si="50"/>
        <v>#VALUE!</v>
      </c>
      <c r="R115" s="121" t="e">
        <f t="shared" si="50"/>
        <v>#VALUE!</v>
      </c>
      <c r="T115" s="121" t="e">
        <f t="shared" ref="T115:Z115" si="51">T103-SUM(T112:T114)</f>
        <v>#VALUE!</v>
      </c>
      <c r="U115" s="121" t="e">
        <f t="shared" si="51"/>
        <v>#VALUE!</v>
      </c>
      <c r="V115" s="121" t="e">
        <f t="shared" si="51"/>
        <v>#VALUE!</v>
      </c>
      <c r="W115" s="121" t="e">
        <f t="shared" si="51"/>
        <v>#VALUE!</v>
      </c>
      <c r="X115" s="121" t="e">
        <f t="shared" si="51"/>
        <v>#VALUE!</v>
      </c>
      <c r="Y115" s="121" t="e">
        <f t="shared" si="51"/>
        <v>#VALUE!</v>
      </c>
      <c r="Z115" s="121" t="e">
        <f t="shared" si="51"/>
        <v>#VALUE!</v>
      </c>
      <c r="AA115" s="16"/>
      <c r="AB115" s="195" t="s">
        <v>153</v>
      </c>
    </row>
    <row r="116" spans="1:28" ht="14" x14ac:dyDescent="0.25">
      <c r="B116" s="8"/>
      <c r="C116" s="159" t="s">
        <v>154</v>
      </c>
      <c r="D116" s="121">
        <f t="shared" ref="D116:J116" si="52">D69+D68*D21</f>
        <v>1.020341245108753</v>
      </c>
      <c r="E116" s="121">
        <f t="shared" si="52"/>
        <v>3.3900094915542507</v>
      </c>
      <c r="F116" s="121">
        <f t="shared" si="52"/>
        <v>3.3900094915542507</v>
      </c>
      <c r="G116" s="121">
        <f t="shared" si="52"/>
        <v>3.3900094915542507</v>
      </c>
      <c r="H116" s="121">
        <f t="shared" si="52"/>
        <v>3.3900094915542507</v>
      </c>
      <c r="I116" s="121">
        <f t="shared" si="52"/>
        <v>3.3900094915542507</v>
      </c>
      <c r="J116" s="121">
        <f t="shared" si="52"/>
        <v>3.3900094915542507</v>
      </c>
      <c r="K116" s="16"/>
      <c r="L116" s="121">
        <f t="shared" ref="L116:R116" si="53">L69+L68*L21</f>
        <v>0</v>
      </c>
      <c r="M116" s="121">
        <f t="shared" si="53"/>
        <v>0</v>
      </c>
      <c r="N116" s="121">
        <f t="shared" si="53"/>
        <v>0</v>
      </c>
      <c r="O116" s="121">
        <f t="shared" si="53"/>
        <v>0</v>
      </c>
      <c r="P116" s="121">
        <f t="shared" si="53"/>
        <v>0</v>
      </c>
      <c r="Q116" s="121">
        <f t="shared" si="53"/>
        <v>0</v>
      </c>
      <c r="R116" s="121">
        <f t="shared" si="53"/>
        <v>0</v>
      </c>
      <c r="T116" s="121">
        <f t="shared" ref="T116:Z116" si="54">T69+T68*T21</f>
        <v>0</v>
      </c>
      <c r="U116" s="121">
        <f t="shared" si="54"/>
        <v>0</v>
      </c>
      <c r="V116" s="121">
        <f t="shared" si="54"/>
        <v>0</v>
      </c>
      <c r="W116" s="121">
        <f t="shared" si="54"/>
        <v>0</v>
      </c>
      <c r="X116" s="121">
        <f t="shared" si="54"/>
        <v>0</v>
      </c>
      <c r="Y116" s="121">
        <f t="shared" si="54"/>
        <v>0</v>
      </c>
      <c r="Z116" s="121">
        <f t="shared" si="54"/>
        <v>0</v>
      </c>
      <c r="AA116" s="16"/>
      <c r="AB116" s="195" t="s">
        <v>155</v>
      </c>
    </row>
    <row r="117" spans="1:28" ht="23" x14ac:dyDescent="0.25">
      <c r="B117" s="8"/>
      <c r="C117" s="159" t="s">
        <v>156</v>
      </c>
      <c r="D117" s="121" t="e">
        <f t="shared" ref="D117:J117" si="55">SUM(D104:D105)</f>
        <v>#VALUE!</v>
      </c>
      <c r="E117" s="121" t="e">
        <f t="shared" si="55"/>
        <v>#VALUE!</v>
      </c>
      <c r="F117" s="121" t="e">
        <f t="shared" si="55"/>
        <v>#VALUE!</v>
      </c>
      <c r="G117" s="121" t="e">
        <f t="shared" si="55"/>
        <v>#VALUE!</v>
      </c>
      <c r="H117" s="121" t="e">
        <f t="shared" si="55"/>
        <v>#VALUE!</v>
      </c>
      <c r="I117" s="121" t="e">
        <f t="shared" si="55"/>
        <v>#VALUE!</v>
      </c>
      <c r="J117" s="121" t="e">
        <f t="shared" si="55"/>
        <v>#VALUE!</v>
      </c>
      <c r="K117" s="16"/>
      <c r="L117" s="121" t="e">
        <f t="shared" ref="L117:R117" si="56">SUM(L104:L105)</f>
        <v>#VALUE!</v>
      </c>
      <c r="M117" s="121" t="e">
        <f t="shared" si="56"/>
        <v>#VALUE!</v>
      </c>
      <c r="N117" s="121" t="e">
        <f t="shared" si="56"/>
        <v>#VALUE!</v>
      </c>
      <c r="O117" s="121" t="e">
        <f t="shared" si="56"/>
        <v>#VALUE!</v>
      </c>
      <c r="P117" s="121" t="e">
        <f t="shared" si="56"/>
        <v>#VALUE!</v>
      </c>
      <c r="Q117" s="121" t="e">
        <f t="shared" si="56"/>
        <v>#VALUE!</v>
      </c>
      <c r="R117" s="121" t="e">
        <f t="shared" si="56"/>
        <v>#VALUE!</v>
      </c>
      <c r="T117" s="121" t="e">
        <f t="shared" ref="T117:Z117" si="57">SUM(T104:T105)</f>
        <v>#VALUE!</v>
      </c>
      <c r="U117" s="121" t="e">
        <f t="shared" si="57"/>
        <v>#VALUE!</v>
      </c>
      <c r="V117" s="121" t="e">
        <f t="shared" si="57"/>
        <v>#VALUE!</v>
      </c>
      <c r="W117" s="121" t="e">
        <f t="shared" si="57"/>
        <v>#VALUE!</v>
      </c>
      <c r="X117" s="121" t="e">
        <f t="shared" si="57"/>
        <v>#VALUE!</v>
      </c>
      <c r="Y117" s="121" t="e">
        <f t="shared" si="57"/>
        <v>#VALUE!</v>
      </c>
      <c r="Z117" s="121" t="e">
        <f t="shared" si="57"/>
        <v>#VALUE!</v>
      </c>
      <c r="AA117" s="16"/>
      <c r="AB117" s="195" t="s">
        <v>157</v>
      </c>
    </row>
    <row r="118" spans="1:28" ht="14" x14ac:dyDescent="0.25">
      <c r="B118" s="8"/>
      <c r="C118" s="163" t="s">
        <v>158</v>
      </c>
      <c r="D118" s="132" t="e">
        <f t="shared" ref="D118" si="58">SUM(D111:D117)</f>
        <v>#VALUE!</v>
      </c>
      <c r="E118" s="132" t="e">
        <f t="shared" ref="E118:Z118" si="59">SUM(E111:E117)</f>
        <v>#VALUE!</v>
      </c>
      <c r="F118" s="132" t="e">
        <f t="shared" si="59"/>
        <v>#VALUE!</v>
      </c>
      <c r="G118" s="132" t="e">
        <f t="shared" si="59"/>
        <v>#VALUE!</v>
      </c>
      <c r="H118" s="132" t="e">
        <f t="shared" si="59"/>
        <v>#VALUE!</v>
      </c>
      <c r="I118" s="132" t="e">
        <f t="shared" si="59"/>
        <v>#VALUE!</v>
      </c>
      <c r="J118" s="132" t="e">
        <f t="shared" si="59"/>
        <v>#VALUE!</v>
      </c>
      <c r="K118" s="17"/>
      <c r="L118" s="132" t="e">
        <f t="shared" si="59"/>
        <v>#VALUE!</v>
      </c>
      <c r="M118" s="132" t="e">
        <f t="shared" si="59"/>
        <v>#VALUE!</v>
      </c>
      <c r="N118" s="132" t="e">
        <f t="shared" si="59"/>
        <v>#VALUE!</v>
      </c>
      <c r="O118" s="132" t="e">
        <f t="shared" si="59"/>
        <v>#VALUE!</v>
      </c>
      <c r="P118" s="132" t="e">
        <f t="shared" si="59"/>
        <v>#VALUE!</v>
      </c>
      <c r="Q118" s="132" t="e">
        <f t="shared" si="59"/>
        <v>#VALUE!</v>
      </c>
      <c r="R118" s="132" t="e">
        <f t="shared" si="59"/>
        <v>#VALUE!</v>
      </c>
      <c r="T118" s="132" t="e">
        <f t="shared" si="59"/>
        <v>#VALUE!</v>
      </c>
      <c r="U118" s="132" t="e">
        <f t="shared" si="59"/>
        <v>#VALUE!</v>
      </c>
      <c r="V118" s="132" t="e">
        <f t="shared" si="59"/>
        <v>#VALUE!</v>
      </c>
      <c r="W118" s="132" t="e">
        <f t="shared" si="59"/>
        <v>#VALUE!</v>
      </c>
      <c r="X118" s="132" t="e">
        <f t="shared" si="59"/>
        <v>#VALUE!</v>
      </c>
      <c r="Y118" s="132" t="e">
        <f t="shared" si="59"/>
        <v>#VALUE!</v>
      </c>
      <c r="Z118" s="132" t="e">
        <f t="shared" si="59"/>
        <v>#VALUE!</v>
      </c>
      <c r="AA118" s="16"/>
      <c r="AB118" s="195" t="s">
        <v>159</v>
      </c>
    </row>
    <row r="119" spans="1:28" ht="26" x14ac:dyDescent="0.25">
      <c r="B119" s="8"/>
      <c r="C119" s="165" t="s">
        <v>632</v>
      </c>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8"/>
    </row>
    <row r="120" spans="1:28" s="1" customFormat="1" ht="18.5" thickBot="1" x14ac:dyDescent="0.3">
      <c r="A120" s="1" t="s">
        <v>160</v>
      </c>
      <c r="C120" s="158"/>
      <c r="D120" s="99"/>
      <c r="E120" s="99"/>
      <c r="F120" s="99"/>
      <c r="G120" s="99"/>
      <c r="H120" s="99"/>
      <c r="I120" s="99"/>
      <c r="J120" s="99"/>
      <c r="L120" s="99"/>
      <c r="M120" s="99"/>
      <c r="N120" s="99"/>
      <c r="O120" s="99"/>
      <c r="P120" s="99"/>
      <c r="Q120" s="99"/>
      <c r="R120" s="99"/>
      <c r="S120" s="98"/>
      <c r="T120" s="99"/>
      <c r="U120" s="99"/>
      <c r="V120" s="99"/>
      <c r="W120" s="99"/>
      <c r="X120" s="99"/>
      <c r="Y120" s="99"/>
      <c r="Z120" s="99"/>
      <c r="AB120" s="197"/>
    </row>
    <row r="122" spans="1:28" ht="12" x14ac:dyDescent="0.25">
      <c r="B122" s="8"/>
      <c r="C122" s="162" t="s">
        <v>161</v>
      </c>
      <c r="D122" s="145" t="e">
        <f t="shared" ref="D122:J122" si="60">D92/D91</f>
        <v>#VALUE!</v>
      </c>
      <c r="E122" s="145" t="e">
        <f t="shared" si="60"/>
        <v>#VALUE!</v>
      </c>
      <c r="F122" s="145" t="e">
        <f t="shared" si="60"/>
        <v>#VALUE!</v>
      </c>
      <c r="G122" s="145" t="e">
        <f t="shared" si="60"/>
        <v>#VALUE!</v>
      </c>
      <c r="H122" s="145" t="e">
        <f t="shared" si="60"/>
        <v>#VALUE!</v>
      </c>
      <c r="I122" s="145" t="e">
        <f t="shared" si="60"/>
        <v>#VALUE!</v>
      </c>
      <c r="J122" s="145" t="e">
        <f t="shared" si="60"/>
        <v>#VALUE!</v>
      </c>
      <c r="K122" s="146"/>
      <c r="L122" s="145" t="e">
        <f t="shared" ref="L122:R122" si="61">L92/L91</f>
        <v>#VALUE!</v>
      </c>
      <c r="M122" s="145" t="e">
        <f t="shared" si="61"/>
        <v>#VALUE!</v>
      </c>
      <c r="N122" s="145" t="e">
        <f t="shared" si="61"/>
        <v>#VALUE!</v>
      </c>
      <c r="O122" s="145" t="e">
        <f t="shared" si="61"/>
        <v>#VALUE!</v>
      </c>
      <c r="P122" s="145" t="e">
        <f t="shared" si="61"/>
        <v>#VALUE!</v>
      </c>
      <c r="Q122" s="145" t="e">
        <f t="shared" si="61"/>
        <v>#VALUE!</v>
      </c>
      <c r="R122" s="145" t="e">
        <f t="shared" si="61"/>
        <v>#VALUE!</v>
      </c>
      <c r="S122" s="147"/>
      <c r="T122" s="145" t="e">
        <f t="shared" ref="T122:Z122" si="62">T92/T91</f>
        <v>#VALUE!</v>
      </c>
      <c r="U122" s="145" t="e">
        <f t="shared" si="62"/>
        <v>#VALUE!</v>
      </c>
      <c r="V122" s="145" t="e">
        <f t="shared" si="62"/>
        <v>#VALUE!</v>
      </c>
      <c r="W122" s="145" t="e">
        <f t="shared" si="62"/>
        <v>#VALUE!</v>
      </c>
      <c r="X122" s="145" t="e">
        <f t="shared" si="62"/>
        <v>#VALUE!</v>
      </c>
      <c r="Y122" s="145" t="e">
        <f t="shared" si="62"/>
        <v>#VALUE!</v>
      </c>
      <c r="Z122" s="145" t="e">
        <f t="shared" si="62"/>
        <v>#VALUE!</v>
      </c>
      <c r="AA122" s="8"/>
      <c r="AB122" s="195" t="s">
        <v>162</v>
      </c>
    </row>
    <row r="123" spans="1:28" x14ac:dyDescent="0.25">
      <c r="B123" s="8"/>
      <c r="AA123" s="8"/>
    </row>
    <row r="124" spans="1:28" x14ac:dyDescent="0.25">
      <c r="B124" s="8"/>
      <c r="D124" s="155">
        <f>D11</f>
        <v>2020</v>
      </c>
      <c r="E124" s="155">
        <f t="shared" ref="E124:J124" si="63">E11</f>
        <v>2025</v>
      </c>
      <c r="F124" s="155">
        <f t="shared" si="63"/>
        <v>2030</v>
      </c>
      <c r="G124" s="155">
        <f t="shared" si="63"/>
        <v>2035</v>
      </c>
      <c r="H124" s="155">
        <f t="shared" si="63"/>
        <v>2040</v>
      </c>
      <c r="I124" s="155">
        <f t="shared" si="63"/>
        <v>2045</v>
      </c>
      <c r="J124" s="155">
        <f t="shared" si="63"/>
        <v>2050</v>
      </c>
      <c r="AA124" s="8"/>
    </row>
    <row r="125" spans="1:28" x14ac:dyDescent="0.25">
      <c r="B125" s="8"/>
      <c r="C125" s="164" t="s">
        <v>633</v>
      </c>
      <c r="D125" s="154" t="e">
        <f>D118/0.947817</f>
        <v>#VALUE!</v>
      </c>
      <c r="E125" s="154" t="e">
        <f t="shared" ref="E125:J125" si="64">E118/0.947817</f>
        <v>#VALUE!</v>
      </c>
      <c r="F125" s="154" t="e">
        <f t="shared" si="64"/>
        <v>#VALUE!</v>
      </c>
      <c r="G125" s="154" t="e">
        <f t="shared" si="64"/>
        <v>#VALUE!</v>
      </c>
      <c r="H125" s="154" t="e">
        <f t="shared" si="64"/>
        <v>#VALUE!</v>
      </c>
      <c r="I125" s="154" t="e">
        <f t="shared" si="64"/>
        <v>#VALUE!</v>
      </c>
      <c r="J125" s="154" t="e">
        <f t="shared" si="64"/>
        <v>#VALUE!</v>
      </c>
      <c r="AA125" s="8"/>
    </row>
    <row r="126" spans="1:28" x14ac:dyDescent="0.25">
      <c r="B126" s="291" t="s">
        <v>638</v>
      </c>
      <c r="C126" s="171" t="s">
        <v>636</v>
      </c>
      <c r="D126" s="174">
        <v>34.07225967162659</v>
      </c>
      <c r="E126" s="174">
        <v>30.840306796139565</v>
      </c>
      <c r="F126" s="174">
        <v>28.542781174147908</v>
      </c>
      <c r="G126" s="174">
        <v>26.027468854107919</v>
      </c>
      <c r="H126" s="174">
        <v>23.263469957638311</v>
      </c>
      <c r="I126" s="174">
        <v>21.204460479787819</v>
      </c>
      <c r="J126" s="168">
        <v>19.115870157023174</v>
      </c>
      <c r="AA126" s="8"/>
    </row>
    <row r="127" spans="1:28" x14ac:dyDescent="0.25">
      <c r="B127" s="291"/>
      <c r="C127" s="172" t="s">
        <v>634</v>
      </c>
      <c r="D127" s="175">
        <v>36.572392341166704</v>
      </c>
      <c r="E127" s="175">
        <v>33.340439465679673</v>
      </c>
      <c r="F127" s="175">
        <v>31.042913843688019</v>
      </c>
      <c r="G127" s="175">
        <v>28.52760152364803</v>
      </c>
      <c r="H127" s="175">
        <v>25.763602627178422</v>
      </c>
      <c r="I127" s="175">
        <v>23.70459314932793</v>
      </c>
      <c r="J127" s="169">
        <v>21.616002826563282</v>
      </c>
      <c r="AA127" s="8"/>
    </row>
    <row r="128" spans="1:28" x14ac:dyDescent="0.25">
      <c r="B128" s="291"/>
      <c r="C128" s="173" t="s">
        <v>635</v>
      </c>
      <c r="D128" s="176">
        <v>37.648909480138414</v>
      </c>
      <c r="E128" s="176">
        <v>34.416956604651389</v>
      </c>
      <c r="F128" s="176">
        <v>32.119430982659729</v>
      </c>
      <c r="G128" s="176">
        <v>29.604118662619744</v>
      </c>
      <c r="H128" s="176">
        <v>26.840119766150135</v>
      </c>
      <c r="I128" s="176">
        <v>24.781110288299644</v>
      </c>
      <c r="J128" s="170">
        <v>22.692519965534995</v>
      </c>
      <c r="AA128" s="8"/>
    </row>
    <row r="129" spans="2:27" x14ac:dyDescent="0.25">
      <c r="B129" s="291" t="s">
        <v>637</v>
      </c>
      <c r="C129" s="171" t="s">
        <v>636</v>
      </c>
      <c r="D129" s="174">
        <v>34.07225967162659</v>
      </c>
      <c r="E129" s="174">
        <v>27.213656334948993</v>
      </c>
      <c r="F129" s="174">
        <v>22.514421745652662</v>
      </c>
      <c r="G129" s="174">
        <v>20.054601683271603</v>
      </c>
      <c r="H129" s="174">
        <v>17.970590687608549</v>
      </c>
      <c r="I129" s="174">
        <v>16.580789603082241</v>
      </c>
      <c r="J129" s="168">
        <v>15.298719863303401</v>
      </c>
      <c r="AA129" s="8"/>
    </row>
    <row r="130" spans="2:27" x14ac:dyDescent="0.25">
      <c r="B130" s="291"/>
      <c r="C130" s="172" t="s">
        <v>634</v>
      </c>
      <c r="D130" s="175">
        <v>36.572392341166704</v>
      </c>
      <c r="E130" s="175">
        <v>29.713789004489101</v>
      </c>
      <c r="F130" s="175">
        <v>25.014554415192773</v>
      </c>
      <c r="G130" s="175">
        <v>22.554734352811714</v>
      </c>
      <c r="H130" s="175">
        <v>20.470723357148657</v>
      </c>
      <c r="I130" s="175">
        <v>19.080922272622352</v>
      </c>
      <c r="J130" s="169">
        <v>17.798852532843508</v>
      </c>
      <c r="AA130" s="8"/>
    </row>
    <row r="131" spans="2:27" x14ac:dyDescent="0.25">
      <c r="B131" s="291"/>
      <c r="C131" s="173" t="s">
        <v>635</v>
      </c>
      <c r="D131" s="176">
        <v>37.648909480138414</v>
      </c>
      <c r="E131" s="176">
        <v>30.790306143460814</v>
      </c>
      <c r="F131" s="176">
        <v>26.091071554164486</v>
      </c>
      <c r="G131" s="176">
        <v>23.631251491783427</v>
      </c>
      <c r="H131" s="176">
        <v>21.54724049612037</v>
      </c>
      <c r="I131" s="176">
        <v>20.157439411594066</v>
      </c>
      <c r="J131" s="170">
        <v>18.875369671815225</v>
      </c>
      <c r="AA131" s="8"/>
    </row>
    <row r="132" spans="2:27" x14ac:dyDescent="0.25">
      <c r="B132" s="8"/>
      <c r="AA132" s="8"/>
    </row>
  </sheetData>
  <mergeCells count="2">
    <mergeCell ref="B126:B128"/>
    <mergeCell ref="B129:B13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700-000000000000}">
          <x14:formula1>
            <xm:f>Dropdowns!$B$2:$B$3</xm:f>
          </x14:formula1>
          <xm:sqref>L18:R19 D18:J19 T18:AA19</xm:sqref>
        </x14:dataValidation>
        <x14:dataValidation type="list" allowBlank="1" showInputMessage="1" showErrorMessage="1" xr:uid="{00000000-0002-0000-0700-000001000000}">
          <x14:formula1>
            <xm:f>Dropdowns!$E$2:$E$4</xm:f>
          </x14:formula1>
          <xm:sqref>D12:J12 L12:R12 T12:AA12</xm:sqref>
        </x14:dataValidation>
        <x14:dataValidation type="list" allowBlank="1" showInputMessage="1" showErrorMessage="1" xr:uid="{00000000-0002-0000-0700-000002000000}">
          <x14:formula1>
            <xm:f>Dropdowns!$F$2:$F$6</xm:f>
          </x14:formula1>
          <xm:sqref>D15:J15 L15:R15 T15:AA15</xm:sqref>
        </x14:dataValidation>
        <x14:dataValidation type="list" allowBlank="1" showInputMessage="1" showErrorMessage="1" xr:uid="{00000000-0002-0000-0700-000003000000}">
          <x14:formula1>
            <xm:f>Dropdowns!$H$2:$H$6</xm:f>
          </x14:formula1>
          <xm:sqref>T13:AA13</xm:sqref>
        </x14:dataValidation>
        <x14:dataValidation type="list" allowBlank="1" showInputMessage="1" showErrorMessage="1" xr:uid="{00000000-0002-0000-0700-000004000000}">
          <x14:formula1>
            <xm:f>Dropdowns!$I$2:$I$4</xm:f>
          </x14:formula1>
          <xm:sqref>D14:J14 L14:R14 T14:AA14</xm:sqref>
        </x14:dataValidation>
        <x14:dataValidation type="list" allowBlank="1" showInputMessage="1" showErrorMessage="1" xr:uid="{00000000-0002-0000-0700-000005000000}">
          <x14:formula1>
            <xm:f>Dropdowns!$J$2:$J$3</xm:f>
          </x14:formula1>
          <xm:sqref>T23:AA23 L23:R23 D23:J23</xm:sqref>
        </x14:dataValidation>
        <x14:dataValidation type="list" allowBlank="1" showInputMessage="1" showErrorMessage="1" xr:uid="{00000000-0002-0000-0700-000006000000}">
          <x14:formula1>
            <xm:f>Dropdowns!$A$2:$A$8</xm:f>
          </x14:formula1>
          <xm:sqref>D11:J11</xm:sqref>
        </x14:dataValidation>
        <x14:dataValidation type="list" allowBlank="1" showInputMessage="1" showErrorMessage="1" xr:uid="{00000000-0002-0000-0700-000007000000}">
          <x14:formula1>
            <xm:f>Dropdowns!$H$2:$H$7</xm:f>
          </x14:formula1>
          <xm:sqref>D13:J13 L13:R13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2:DE11"/>
  <sheetViews>
    <sheetView workbookViewId="0">
      <selection activeCell="D28" sqref="D28"/>
    </sheetView>
  </sheetViews>
  <sheetFormatPr defaultRowHeight="11.5" x14ac:dyDescent="0.25"/>
  <cols>
    <col min="1" max="1" width="47.3984375" bestFit="1" customWidth="1"/>
    <col min="2" max="2" width="19.3984375" bestFit="1" customWidth="1"/>
    <col min="3" max="3" width="18.3984375" bestFit="1" customWidth="1"/>
  </cols>
  <sheetData>
    <row r="2" spans="1:109" x14ac:dyDescent="0.25">
      <c r="A2" s="8" t="s">
        <v>163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row>
    <row r="4" spans="1:109" ht="13" x14ac:dyDescent="0.25">
      <c r="A4" s="142"/>
      <c r="B4" s="140" t="s">
        <v>164</v>
      </c>
      <c r="C4" s="140" t="s">
        <v>165</v>
      </c>
      <c r="D4" s="140" t="s">
        <v>166</v>
      </c>
      <c r="E4" s="140" t="s">
        <v>167</v>
      </c>
      <c r="F4" s="140" t="s">
        <v>168</v>
      </c>
      <c r="G4" s="140" t="s">
        <v>169</v>
      </c>
      <c r="H4" s="140" t="s">
        <v>170</v>
      </c>
      <c r="I4" s="140" t="s">
        <v>171</v>
      </c>
      <c r="J4" s="140" t="s">
        <v>172</v>
      </c>
      <c r="K4" s="140" t="s">
        <v>51</v>
      </c>
      <c r="L4" s="140" t="s">
        <v>173</v>
      </c>
      <c r="M4" s="140" t="s">
        <v>174</v>
      </c>
      <c r="N4" s="140" t="s">
        <v>175</v>
      </c>
      <c r="O4" s="140" t="s">
        <v>176</v>
      </c>
      <c r="P4" s="140" t="s">
        <v>177</v>
      </c>
      <c r="Q4" s="140" t="s">
        <v>178</v>
      </c>
      <c r="R4" s="140" t="s">
        <v>179</v>
      </c>
      <c r="S4" s="140" t="s">
        <v>180</v>
      </c>
      <c r="T4" s="140" t="s">
        <v>181</v>
      </c>
      <c r="U4" s="140" t="s">
        <v>182</v>
      </c>
      <c r="V4" s="140" t="s">
        <v>183</v>
      </c>
      <c r="W4" s="140" t="s">
        <v>184</v>
      </c>
      <c r="X4" s="140" t="s">
        <v>185</v>
      </c>
      <c r="Y4" s="140" t="s">
        <v>186</v>
      </c>
      <c r="Z4" s="140" t="s">
        <v>187</v>
      </c>
      <c r="AA4" s="140" t="s">
        <v>188</v>
      </c>
      <c r="AB4" s="140" t="s">
        <v>189</v>
      </c>
      <c r="AC4" s="140" t="s">
        <v>190</v>
      </c>
      <c r="AD4" s="140" t="s">
        <v>191</v>
      </c>
      <c r="AE4" s="140" t="s">
        <v>192</v>
      </c>
      <c r="AF4" s="140" t="s">
        <v>193</v>
      </c>
      <c r="AG4" s="140" t="s">
        <v>194</v>
      </c>
      <c r="AH4" s="140" t="s">
        <v>195</v>
      </c>
      <c r="AI4" s="140" t="s">
        <v>196</v>
      </c>
      <c r="AJ4" s="140" t="s">
        <v>197</v>
      </c>
      <c r="AK4" s="140" t="s">
        <v>198</v>
      </c>
      <c r="AL4" s="140" t="s">
        <v>199</v>
      </c>
      <c r="AM4" s="140" t="s">
        <v>200</v>
      </c>
      <c r="AN4" s="140" t="s">
        <v>201</v>
      </c>
      <c r="AO4" s="140" t="s">
        <v>202</v>
      </c>
      <c r="AP4" s="140" t="s">
        <v>203</v>
      </c>
      <c r="AQ4" s="140" t="s">
        <v>204</v>
      </c>
      <c r="AR4" s="140" t="s">
        <v>205</v>
      </c>
      <c r="AS4" s="140" t="s">
        <v>206</v>
      </c>
      <c r="AT4" s="140" t="s">
        <v>207</v>
      </c>
      <c r="AU4" s="140" t="s">
        <v>208</v>
      </c>
      <c r="AV4" s="140" t="s">
        <v>209</v>
      </c>
      <c r="AW4" s="140" t="s">
        <v>210</v>
      </c>
      <c r="AX4" s="140" t="s">
        <v>211</v>
      </c>
      <c r="AY4" s="140" t="s">
        <v>212</v>
      </c>
      <c r="AZ4" s="140" t="s">
        <v>213</v>
      </c>
      <c r="BA4" s="140" t="s">
        <v>214</v>
      </c>
      <c r="BB4" s="140" t="s">
        <v>215</v>
      </c>
      <c r="BC4" s="140" t="s">
        <v>216</v>
      </c>
      <c r="BD4" s="140" t="s">
        <v>217</v>
      </c>
      <c r="BE4" s="140" t="s">
        <v>218</v>
      </c>
      <c r="BF4" s="140" t="s">
        <v>219</v>
      </c>
      <c r="BG4" s="140" t="s">
        <v>220</v>
      </c>
      <c r="BH4" s="140" t="s">
        <v>221</v>
      </c>
      <c r="BI4" s="140" t="s">
        <v>222</v>
      </c>
      <c r="BJ4" s="140" t="s">
        <v>223</v>
      </c>
      <c r="BK4" s="140" t="s">
        <v>224</v>
      </c>
      <c r="BL4" s="140" t="s">
        <v>225</v>
      </c>
      <c r="BM4" s="140" t="s">
        <v>226</v>
      </c>
      <c r="BN4" s="140" t="s">
        <v>227</v>
      </c>
      <c r="BO4" s="140" t="s">
        <v>228</v>
      </c>
      <c r="BP4" s="140" t="s">
        <v>229</v>
      </c>
      <c r="BQ4" s="140" t="s">
        <v>230</v>
      </c>
      <c r="BR4" s="140" t="s">
        <v>231</v>
      </c>
      <c r="BS4" s="140" t="s">
        <v>232</v>
      </c>
      <c r="BT4" s="140" t="s">
        <v>233</v>
      </c>
      <c r="BU4" s="140" t="s">
        <v>234</v>
      </c>
      <c r="BV4" s="140" t="s">
        <v>235</v>
      </c>
      <c r="BW4" s="140" t="s">
        <v>236</v>
      </c>
      <c r="BX4" s="140" t="s">
        <v>237</v>
      </c>
      <c r="BY4" s="140" t="s">
        <v>238</v>
      </c>
      <c r="BZ4" s="140" t="s">
        <v>239</v>
      </c>
      <c r="CA4" s="140" t="s">
        <v>240</v>
      </c>
      <c r="CB4" s="140" t="s">
        <v>241</v>
      </c>
      <c r="CC4" s="140" t="s">
        <v>242</v>
      </c>
      <c r="CD4" s="140" t="s">
        <v>243</v>
      </c>
      <c r="CE4" s="140" t="s">
        <v>244</v>
      </c>
      <c r="CF4" s="140" t="s">
        <v>245</v>
      </c>
      <c r="CG4" s="140" t="s">
        <v>246</v>
      </c>
      <c r="CH4" s="140" t="s">
        <v>247</v>
      </c>
      <c r="CI4" s="140" t="s">
        <v>248</v>
      </c>
      <c r="CJ4" s="140" t="s">
        <v>249</v>
      </c>
      <c r="CK4" s="140" t="s">
        <v>250</v>
      </c>
      <c r="CL4" s="140" t="s">
        <v>251</v>
      </c>
      <c r="CM4" s="140" t="s">
        <v>252</v>
      </c>
      <c r="CN4" s="140" t="s">
        <v>253</v>
      </c>
      <c r="CO4" s="140" t="s">
        <v>254</v>
      </c>
      <c r="CP4" s="140" t="s">
        <v>255</v>
      </c>
      <c r="CQ4" s="140" t="s">
        <v>256</v>
      </c>
      <c r="CR4" s="140" t="s">
        <v>257</v>
      </c>
      <c r="CS4" s="140" t="s">
        <v>258</v>
      </c>
      <c r="CT4" s="140" t="s">
        <v>259</v>
      </c>
      <c r="CU4" s="140" t="s">
        <v>260</v>
      </c>
      <c r="CV4" s="140" t="s">
        <v>261</v>
      </c>
      <c r="CW4" s="140" t="s">
        <v>262</v>
      </c>
      <c r="CX4" s="140" t="s">
        <v>263</v>
      </c>
      <c r="CY4" s="140" t="s">
        <v>264</v>
      </c>
      <c r="CZ4" s="140" t="s">
        <v>265</v>
      </c>
      <c r="DA4" s="140" t="s">
        <v>266</v>
      </c>
      <c r="DB4" s="140" t="s">
        <v>267</v>
      </c>
      <c r="DC4" s="140" t="s">
        <v>268</v>
      </c>
      <c r="DD4" s="140" t="s">
        <v>269</v>
      </c>
      <c r="DE4" s="140" t="s">
        <v>270</v>
      </c>
    </row>
    <row r="5" spans="1:109" ht="12" x14ac:dyDescent="0.25">
      <c r="A5" s="143" t="s">
        <v>271</v>
      </c>
      <c r="B5" s="141">
        <v>0.24430714334351655</v>
      </c>
      <c r="C5" s="141">
        <v>0.27420028125178669</v>
      </c>
      <c r="D5" s="141">
        <v>0.25848885820674705</v>
      </c>
      <c r="E5" s="141">
        <v>0.22173962713030512</v>
      </c>
      <c r="F5" s="141">
        <v>0.26299683172187366</v>
      </c>
      <c r="G5" s="141">
        <v>0.30885514460451396</v>
      </c>
      <c r="H5" s="141">
        <v>0.33019197934222877</v>
      </c>
      <c r="I5" s="141">
        <v>0.32667432585787737</v>
      </c>
      <c r="J5" s="141">
        <v>0.28138200727629714</v>
      </c>
      <c r="K5" s="141">
        <v>0.2621420819213186</v>
      </c>
      <c r="L5" s="141">
        <v>0.27739002736711144</v>
      </c>
      <c r="M5" s="141">
        <v>0.33115182603845428</v>
      </c>
      <c r="N5" s="141">
        <v>0.19340982181361721</v>
      </c>
      <c r="O5" s="141">
        <v>0.20998364712185946</v>
      </c>
      <c r="P5" s="141">
        <v>0.19419026359432626</v>
      </c>
      <c r="Q5" s="141">
        <v>0.17321519612539235</v>
      </c>
      <c r="R5" s="141">
        <v>0.18951306303709217</v>
      </c>
      <c r="S5" s="141">
        <v>0.22409032374392993</v>
      </c>
      <c r="T5" s="141">
        <v>0.39330401556167016</v>
      </c>
      <c r="U5" s="141">
        <v>0.35240674193924704</v>
      </c>
      <c r="V5" s="141">
        <v>0.31308798473527305</v>
      </c>
      <c r="W5" s="141">
        <v>0.31555527388430127</v>
      </c>
      <c r="X5" s="141">
        <v>0.35302770372233094</v>
      </c>
      <c r="Y5" s="141">
        <v>0.29593677162137028</v>
      </c>
      <c r="Z5" s="141">
        <v>0.47841934774857892</v>
      </c>
      <c r="AA5" s="141">
        <v>0.31984098437008585</v>
      </c>
      <c r="AB5" s="141">
        <v>0.44894535273701575</v>
      </c>
      <c r="AC5" s="141">
        <v>0.31258973767182807</v>
      </c>
      <c r="AD5" s="141">
        <v>0.48041391244144138</v>
      </c>
      <c r="AE5" s="141">
        <v>0.45883276042884091</v>
      </c>
      <c r="AF5" s="141">
        <v>0</v>
      </c>
      <c r="AG5" s="141">
        <v>0.43798060323300947</v>
      </c>
      <c r="AH5" s="141">
        <v>0.47345712039618926</v>
      </c>
      <c r="AI5" s="141">
        <v>0</v>
      </c>
      <c r="AJ5" s="141">
        <v>0.46982769886830461</v>
      </c>
      <c r="AK5" s="141">
        <v>0</v>
      </c>
      <c r="AL5" s="141">
        <v>0.22471681963774162</v>
      </c>
      <c r="AM5" s="141">
        <v>0.18723577528716587</v>
      </c>
      <c r="AN5" s="141">
        <v>0.19163479692706231</v>
      </c>
      <c r="AO5" s="141">
        <v>0.18700061673269264</v>
      </c>
      <c r="AP5" s="141">
        <v>0.17790188891903208</v>
      </c>
      <c r="AQ5" s="141">
        <v>0.19920779570714436</v>
      </c>
      <c r="AR5" s="141">
        <v>0.20770080014730963</v>
      </c>
      <c r="AS5" s="141">
        <v>0.21003665562976531</v>
      </c>
      <c r="AT5" s="141">
        <v>0.23493460639761898</v>
      </c>
      <c r="AU5" s="141">
        <v>0.19636939084075139</v>
      </c>
      <c r="AV5" s="141">
        <v>0.20830704957229609</v>
      </c>
      <c r="AW5" s="141">
        <v>0.19868808815979225</v>
      </c>
      <c r="AX5" s="141">
        <v>0.25744341221964206</v>
      </c>
      <c r="AY5" s="141">
        <v>0.23962123007051683</v>
      </c>
      <c r="AZ5" s="141">
        <v>0.2392221118721459</v>
      </c>
      <c r="BA5" s="141">
        <v>0.21667177405461313</v>
      </c>
      <c r="BB5" s="141">
        <v>0.21473583461887594</v>
      </c>
      <c r="BC5" s="141">
        <v>0.252381941393163</v>
      </c>
      <c r="BD5" s="141">
        <v>0.24125894178082091</v>
      </c>
      <c r="BE5" s="141">
        <v>0.24497710109756599</v>
      </c>
      <c r="BF5" s="141">
        <v>0.31230200154579874</v>
      </c>
      <c r="BG5" s="141">
        <v>0.24732433092739708</v>
      </c>
      <c r="BH5" s="141">
        <v>0.24673845890558424</v>
      </c>
      <c r="BI5" s="141">
        <v>0.25172782197634708</v>
      </c>
      <c r="BJ5" s="141">
        <v>0.19407361695986777</v>
      </c>
      <c r="BK5" s="141">
        <v>0.17445040786908719</v>
      </c>
      <c r="BL5" s="141">
        <v>0.17184898275087837</v>
      </c>
      <c r="BM5" s="141">
        <v>0.18974176540887006</v>
      </c>
      <c r="BN5" s="141">
        <v>0.16234664741009819</v>
      </c>
      <c r="BO5" s="141">
        <v>0.17928701613642994</v>
      </c>
      <c r="BP5" s="141">
        <v>0.18791977156185163</v>
      </c>
      <c r="BQ5" s="141">
        <v>0.19003316461740669</v>
      </c>
      <c r="BR5" s="141">
        <v>0.20429096208488592</v>
      </c>
      <c r="BS5" s="141">
        <v>0.16691398221463874</v>
      </c>
      <c r="BT5" s="141">
        <v>0.16862951632043041</v>
      </c>
      <c r="BU5" s="141">
        <v>0.17881927934381303</v>
      </c>
      <c r="BV5" s="141">
        <v>0.25069872978537217</v>
      </c>
      <c r="BW5" s="141">
        <v>0.35582309387420941</v>
      </c>
      <c r="BX5" s="141">
        <v>0.37314102659092052</v>
      </c>
      <c r="BY5" s="141">
        <v>0.37168172699745572</v>
      </c>
      <c r="BZ5" s="141">
        <v>0.36027434522853458</v>
      </c>
      <c r="CA5" s="141">
        <v>0.38365407342526703</v>
      </c>
      <c r="CB5" s="141">
        <v>0.26250362092339363</v>
      </c>
      <c r="CC5" s="141">
        <v>0.36322333101674004</v>
      </c>
      <c r="CD5" s="141">
        <v>0.41015281682840288</v>
      </c>
      <c r="CE5" s="141">
        <v>0.36205348955423922</v>
      </c>
      <c r="CF5" s="141">
        <v>0.38131250133234262</v>
      </c>
      <c r="CG5" s="141">
        <v>0.35133283383469766</v>
      </c>
      <c r="CH5" s="141">
        <v>0.30815630100000013</v>
      </c>
      <c r="CI5" s="141">
        <v>0.38301737574553274</v>
      </c>
      <c r="CJ5" s="141">
        <v>0.4402622076838098</v>
      </c>
      <c r="CK5" s="141">
        <v>0.47973455871288934</v>
      </c>
      <c r="CL5" s="141">
        <v>0.44917370261043504</v>
      </c>
      <c r="CM5" s="141">
        <v>0.30876773124774426</v>
      </c>
      <c r="CN5" s="141">
        <v>0.38140694538136377</v>
      </c>
      <c r="CO5" s="141">
        <v>0.31214176064772781</v>
      </c>
      <c r="CP5" s="141">
        <v>0.49131189776658268</v>
      </c>
      <c r="CQ5" s="141">
        <v>0.43673897361927705</v>
      </c>
      <c r="CR5" s="141">
        <v>0.48791644351757252</v>
      </c>
      <c r="CS5" s="141">
        <v>0.39079623565261046</v>
      </c>
      <c r="CT5" s="141">
        <v>0.42249879900000042</v>
      </c>
      <c r="CU5" s="141">
        <v>0.465848958119222</v>
      </c>
      <c r="CV5" s="141">
        <v>0.45505636560421858</v>
      </c>
      <c r="CW5" s="141">
        <v>0.51018525194066078</v>
      </c>
      <c r="CX5" s="141">
        <v>0.47481698569148639</v>
      </c>
      <c r="CY5" s="141">
        <v>0.42301525816695684</v>
      </c>
      <c r="CZ5" s="141">
        <v>0.46401375375954301</v>
      </c>
      <c r="DA5" s="141">
        <v>0</v>
      </c>
      <c r="DB5" s="141">
        <v>0</v>
      </c>
      <c r="DC5" s="141">
        <v>0</v>
      </c>
      <c r="DD5" s="141">
        <v>0</v>
      </c>
      <c r="DE5" s="141">
        <v>0.42382723696718538</v>
      </c>
    </row>
    <row r="6" spans="1:109" s="8" customFormat="1" x14ac:dyDescent="0.25"/>
    <row r="7" spans="1:109" s="8" customFormat="1" x14ac:dyDescent="0.25"/>
    <row r="8" spans="1:109" x14ac:dyDescent="0.25">
      <c r="A8" s="8"/>
      <c r="B8" s="8"/>
      <c r="C8" s="87" t="s">
        <v>272</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row>
    <row r="9" spans="1:109" ht="13" x14ac:dyDescent="0.25">
      <c r="A9" s="137" t="s">
        <v>273</v>
      </c>
      <c r="B9" s="137" t="s">
        <v>274</v>
      </c>
      <c r="C9" s="137">
        <v>2020</v>
      </c>
      <c r="D9" s="137">
        <v>2021</v>
      </c>
      <c r="E9" s="137">
        <v>2022</v>
      </c>
      <c r="F9" s="137">
        <v>2023</v>
      </c>
      <c r="G9" s="137">
        <v>2024</v>
      </c>
      <c r="H9" s="137">
        <v>2025</v>
      </c>
      <c r="I9" s="137">
        <v>2026</v>
      </c>
      <c r="J9" s="137">
        <v>2027</v>
      </c>
      <c r="K9" s="137">
        <v>2028</v>
      </c>
      <c r="L9" s="137">
        <v>2029</v>
      </c>
      <c r="M9" s="137">
        <v>2030</v>
      </c>
      <c r="N9" s="137">
        <v>2031</v>
      </c>
      <c r="O9" s="137">
        <v>2032</v>
      </c>
      <c r="P9" s="137">
        <v>2033</v>
      </c>
      <c r="Q9" s="137">
        <v>2034</v>
      </c>
      <c r="R9" s="137">
        <v>2035</v>
      </c>
      <c r="S9" s="137">
        <v>2036</v>
      </c>
      <c r="T9" s="137">
        <v>2037</v>
      </c>
      <c r="U9" s="137">
        <v>2038</v>
      </c>
      <c r="V9" s="137">
        <v>2039</v>
      </c>
      <c r="W9" s="137">
        <v>2040</v>
      </c>
      <c r="X9" s="137">
        <v>2041</v>
      </c>
      <c r="Y9" s="137">
        <v>2042</v>
      </c>
      <c r="Z9" s="137">
        <v>2043</v>
      </c>
      <c r="AA9" s="137">
        <v>2044</v>
      </c>
      <c r="AB9" s="137">
        <v>2045</v>
      </c>
      <c r="AC9" s="137">
        <v>2046</v>
      </c>
      <c r="AD9" s="137">
        <v>2047</v>
      </c>
      <c r="AE9" s="137">
        <v>2048</v>
      </c>
      <c r="AF9" s="137">
        <v>2049</v>
      </c>
      <c r="AG9" s="137">
        <v>2050</v>
      </c>
      <c r="AH9" s="137">
        <v>2051</v>
      </c>
      <c r="AI9" s="137">
        <v>2052</v>
      </c>
      <c r="AJ9" s="137">
        <v>2053</v>
      </c>
      <c r="AK9" s="137">
        <v>2054</v>
      </c>
      <c r="AL9" s="137">
        <v>2055</v>
      </c>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row>
    <row r="10" spans="1:109" ht="12" x14ac:dyDescent="0.25">
      <c r="A10" s="138" t="s">
        <v>51</v>
      </c>
      <c r="B10" s="144">
        <f t="shared" ref="B10" si="0">INDEX($B$5:$DE$5,MATCH(A10,$B$4:$DE$4,0))</f>
        <v>0.2621420819213186</v>
      </c>
      <c r="C10" s="139">
        <v>59.061176470588236</v>
      </c>
      <c r="D10" s="139">
        <v>56.317450980392202</v>
      </c>
      <c r="E10" s="139">
        <v>53.573725490196075</v>
      </c>
      <c r="F10" s="139">
        <v>51.473039215686271</v>
      </c>
      <c r="G10" s="139">
        <v>47.227058823529411</v>
      </c>
      <c r="H10" s="139">
        <v>45.116568627450981</v>
      </c>
      <c r="I10" s="139">
        <v>55.177352941176473</v>
      </c>
      <c r="J10" s="139">
        <v>52.738431372549016</v>
      </c>
      <c r="K10" s="139">
        <v>49.623333333333335</v>
      </c>
      <c r="L10" s="139">
        <v>46.421274509803915</v>
      </c>
      <c r="M10" s="139">
        <v>43.132156862745092</v>
      </c>
      <c r="N10" s="139">
        <v>42.632843137254902</v>
      </c>
      <c r="O10" s="139">
        <v>42.133529411764705</v>
      </c>
      <c r="P10" s="139">
        <v>41.634313725490195</v>
      </c>
      <c r="Q10" s="139">
        <v>41.134999999999998</v>
      </c>
      <c r="R10" s="139">
        <v>40.635784313725495</v>
      </c>
      <c r="S10" s="139">
        <v>40.136470588235291</v>
      </c>
      <c r="T10" s="139">
        <v>39.637156862745101</v>
      </c>
      <c r="U10" s="139">
        <v>39.137941176470584</v>
      </c>
      <c r="V10" s="139">
        <v>38.638627450980394</v>
      </c>
      <c r="W10" s="139">
        <v>38.139411764705883</v>
      </c>
      <c r="X10" s="139">
        <v>37.64009803921568</v>
      </c>
      <c r="Y10" s="139">
        <v>37.14078431372549</v>
      </c>
      <c r="Z10" s="139">
        <v>36.64156862745098</v>
      </c>
      <c r="AA10" s="139">
        <v>36.142254901960783</v>
      </c>
      <c r="AB10" s="139">
        <v>35.643039215686272</v>
      </c>
      <c r="AC10" s="139">
        <v>35.143725490196076</v>
      </c>
      <c r="AD10" s="139">
        <v>34.644411764705879</v>
      </c>
      <c r="AE10" s="139">
        <v>34.145196078431368</v>
      </c>
      <c r="AF10" s="139">
        <v>33.645882352941179</v>
      </c>
      <c r="AG10" s="139">
        <v>33.146568627450982</v>
      </c>
      <c r="AH10" s="139"/>
      <c r="AI10" s="139"/>
      <c r="AJ10" s="139"/>
      <c r="AK10" s="139"/>
      <c r="AL10" s="139"/>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row>
    <row r="11" spans="1:109" x14ac:dyDescent="0.25">
      <c r="A11" s="8"/>
      <c r="B11" s="8"/>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BL95"/>
  <sheetViews>
    <sheetView showGridLines="0" zoomScale="50" zoomScaleNormal="50" zoomScalePageLayoutView="70" workbookViewId="0">
      <selection activeCell="G82" sqref="G82:G89"/>
    </sheetView>
  </sheetViews>
  <sheetFormatPr defaultColWidth="9" defaultRowHeight="11.5" x14ac:dyDescent="0.25"/>
  <cols>
    <col min="1" max="1" width="31.59765625" style="8" customWidth="1"/>
    <col min="2" max="2" width="23.59765625" style="8" customWidth="1"/>
    <col min="3" max="3" width="23.09765625" style="8" customWidth="1"/>
    <col min="4" max="4" width="23.3984375" style="8" customWidth="1"/>
    <col min="5" max="5" width="17.3984375" style="8" customWidth="1"/>
    <col min="6" max="6" width="17" style="8" customWidth="1"/>
    <col min="7" max="8" width="13.59765625" style="8" customWidth="1"/>
    <col min="9" max="9" width="17.59765625" style="8" customWidth="1"/>
    <col min="10" max="10" width="16.3984375" style="8" customWidth="1"/>
    <col min="11" max="11" width="11.3984375" style="8" customWidth="1"/>
    <col min="12" max="12" width="19.59765625" style="8" customWidth="1"/>
    <col min="13" max="13" width="16.59765625" style="8" customWidth="1"/>
    <col min="14" max="14" width="25" style="8" customWidth="1"/>
    <col min="15" max="15" width="24.59765625" style="8" customWidth="1"/>
    <col min="16" max="16" width="25.8984375" style="8" customWidth="1"/>
    <col min="17" max="17" width="15.59765625" style="8" customWidth="1"/>
    <col min="18" max="18" width="17.59765625" style="8" customWidth="1"/>
    <col min="19" max="20" width="16.3984375" style="8" customWidth="1"/>
    <col min="21" max="21" width="10.59765625" style="8" customWidth="1"/>
    <col min="22" max="22" width="11.3984375" style="8" customWidth="1"/>
    <col min="23" max="23" width="10.59765625" style="8" customWidth="1"/>
    <col min="24" max="24" width="17.09765625" style="8" customWidth="1"/>
    <col min="25" max="26" width="11.59765625" style="8" customWidth="1"/>
    <col min="27" max="27" width="17.59765625" style="8" customWidth="1"/>
    <col min="28" max="28" width="17" style="8" customWidth="1"/>
    <col min="29" max="29" width="9" style="8"/>
    <col min="30" max="30" width="9.59765625" style="8" customWidth="1"/>
    <col min="31" max="31" width="10.59765625" style="8" customWidth="1"/>
    <col min="32" max="33" width="9" style="8"/>
    <col min="34" max="34" width="20.59765625" style="8" bestFit="1" customWidth="1"/>
    <col min="35" max="35" width="9.3984375" style="8" customWidth="1"/>
    <col min="36" max="36" width="15.09765625" style="8" bestFit="1" customWidth="1"/>
    <col min="37" max="39" width="9" style="8"/>
    <col min="40" max="40" width="11.3984375" style="8" customWidth="1"/>
    <col min="41" max="42" width="9" style="8"/>
    <col min="43" max="43" width="13.59765625" style="8" customWidth="1"/>
    <col min="44" max="16384" width="9" style="8"/>
  </cols>
  <sheetData>
    <row r="1" spans="1:36" ht="26" thickTop="1" thickBot="1" x14ac:dyDescent="0.3">
      <c r="A1" s="92" t="s">
        <v>275</v>
      </c>
      <c r="B1" s="92" t="s">
        <v>276</v>
      </c>
      <c r="C1" s="92" t="s">
        <v>277</v>
      </c>
      <c r="D1" s="92" t="s">
        <v>278</v>
      </c>
      <c r="F1" s="288" t="s">
        <v>727</v>
      </c>
      <c r="G1" s="289"/>
      <c r="H1" s="289"/>
      <c r="I1" s="289"/>
      <c r="J1" s="289"/>
      <c r="K1" s="289"/>
      <c r="L1" s="289"/>
      <c r="M1" s="289"/>
      <c r="N1" s="289"/>
      <c r="O1" s="289"/>
      <c r="P1" s="289"/>
      <c r="Q1" s="289"/>
      <c r="R1" s="289"/>
      <c r="S1" s="289"/>
      <c r="T1" s="289"/>
      <c r="U1" s="289"/>
      <c r="V1" s="289"/>
      <c r="W1" s="289"/>
      <c r="X1" s="289"/>
      <c r="Y1" s="289"/>
      <c r="Z1" s="290"/>
    </row>
    <row r="2" spans="1:36" ht="12" thickTop="1" x14ac:dyDescent="0.25">
      <c r="A2" s="97" t="s">
        <v>279</v>
      </c>
      <c r="B2" s="93" t="s">
        <v>280</v>
      </c>
      <c r="C2" s="93">
        <v>0.1</v>
      </c>
      <c r="D2" s="93">
        <v>0.14000000000000001</v>
      </c>
    </row>
    <row r="3" spans="1:36" x14ac:dyDescent="0.25">
      <c r="A3" s="97" t="s">
        <v>281</v>
      </c>
      <c r="B3" s="93" t="s">
        <v>280</v>
      </c>
      <c r="C3" s="118">
        <v>0.9</v>
      </c>
      <c r="D3" s="118">
        <v>0.86</v>
      </c>
    </row>
    <row r="4" spans="1:36" x14ac:dyDescent="0.25">
      <c r="A4" s="97" t="s">
        <v>282</v>
      </c>
      <c r="B4" s="93" t="s">
        <v>280</v>
      </c>
      <c r="C4" s="119">
        <v>0.15200309344504997</v>
      </c>
      <c r="D4" s="119">
        <v>0.21759143507262679</v>
      </c>
    </row>
    <row r="5" spans="1:36" ht="25" x14ac:dyDescent="0.25">
      <c r="A5" s="97" t="s">
        <v>279</v>
      </c>
      <c r="B5" s="93" t="s">
        <v>283</v>
      </c>
      <c r="C5" s="118">
        <v>0.14000000000000001</v>
      </c>
      <c r="D5" s="118">
        <v>0.25</v>
      </c>
      <c r="I5" s="284" t="s">
        <v>728</v>
      </c>
    </row>
    <row r="6" spans="1:36" x14ac:dyDescent="0.25">
      <c r="A6" s="97" t="s">
        <v>281</v>
      </c>
      <c r="B6" s="93" t="s">
        <v>283</v>
      </c>
      <c r="C6" s="118">
        <v>0.86</v>
      </c>
      <c r="D6" s="118">
        <v>0.75</v>
      </c>
    </row>
    <row r="7" spans="1:36" x14ac:dyDescent="0.25">
      <c r="A7" s="97" t="s">
        <v>282</v>
      </c>
      <c r="B7" s="93" t="s">
        <v>283</v>
      </c>
      <c r="C7" s="119">
        <v>0.21759143507262679</v>
      </c>
      <c r="D7" s="119">
        <v>0.41503749927884381</v>
      </c>
    </row>
    <row r="8" spans="1:36" ht="15.5" x14ac:dyDescent="0.25">
      <c r="A8" s="80"/>
      <c r="C8" s="79"/>
    </row>
    <row r="9" spans="1:36" ht="18.5" thickBot="1" x14ac:dyDescent="0.3">
      <c r="A9" s="117" t="s">
        <v>284</v>
      </c>
      <c r="B9" s="1"/>
      <c r="C9" s="117"/>
      <c r="D9" s="1"/>
      <c r="E9" s="1"/>
      <c r="F9" s="1"/>
      <c r="G9" s="1"/>
      <c r="H9" s="1"/>
      <c r="I9" s="1"/>
      <c r="J9" s="1"/>
      <c r="K9" s="1"/>
      <c r="L9" s="1"/>
      <c r="M9" s="1"/>
      <c r="N9" s="1"/>
      <c r="O9" s="1"/>
      <c r="Q9" s="117" t="s">
        <v>285</v>
      </c>
      <c r="R9" s="1"/>
      <c r="S9" s="117"/>
      <c r="T9" s="1"/>
      <c r="U9" s="1"/>
      <c r="V9" s="1"/>
      <c r="W9" s="1"/>
      <c r="X9" s="1"/>
      <c r="Y9" s="1"/>
      <c r="Z9" s="1"/>
      <c r="AA9" s="1"/>
      <c r="AB9" s="1"/>
      <c r="AC9" s="1"/>
      <c r="AD9" s="1"/>
      <c r="AE9" s="1"/>
      <c r="AF9" s="1"/>
    </row>
    <row r="10" spans="1:36" ht="15.5" x14ac:dyDescent="0.25">
      <c r="A10" s="80"/>
      <c r="B10" s="80"/>
      <c r="Q10" s="80"/>
      <c r="R10" s="80"/>
    </row>
    <row r="11" spans="1:36" s="91" customFormat="1" ht="17" thickBot="1" x14ac:dyDescent="0.4">
      <c r="A11" s="8"/>
      <c r="B11" s="120" t="s">
        <v>286</v>
      </c>
      <c r="C11" s="120"/>
      <c r="D11" s="120"/>
      <c r="E11" s="120"/>
      <c r="F11" s="120"/>
      <c r="P11" s="8"/>
      <c r="Q11" s="8"/>
      <c r="R11" s="120" t="s">
        <v>287</v>
      </c>
      <c r="S11" s="120"/>
      <c r="T11" s="120"/>
      <c r="U11" s="120"/>
      <c r="V11" s="120"/>
    </row>
    <row r="12" spans="1:36" customFormat="1" x14ac:dyDescent="0.2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row>
    <row r="13" spans="1:36" ht="13" x14ac:dyDescent="0.25">
      <c r="A13" s="92"/>
      <c r="B13" s="92" t="s">
        <v>288</v>
      </c>
      <c r="C13" s="92" t="s">
        <v>40</v>
      </c>
      <c r="D13" s="92" t="s">
        <v>289</v>
      </c>
      <c r="E13" s="92" t="s">
        <v>290</v>
      </c>
      <c r="F13" s="92" t="s">
        <v>291</v>
      </c>
      <c r="Q13" s="92"/>
      <c r="R13" s="92" t="s">
        <v>288</v>
      </c>
      <c r="S13" s="92" t="s">
        <v>40</v>
      </c>
      <c r="T13" s="92" t="s">
        <v>289</v>
      </c>
      <c r="U13" s="92" t="s">
        <v>290</v>
      </c>
      <c r="V13" s="92" t="s">
        <v>291</v>
      </c>
      <c r="AH13" s="92" t="s">
        <v>292</v>
      </c>
      <c r="AI13" s="92"/>
      <c r="AJ13" s="92"/>
    </row>
    <row r="14" spans="1:36" x14ac:dyDescent="0.25">
      <c r="A14" s="126" t="s">
        <v>293</v>
      </c>
      <c r="B14" s="126" t="s">
        <v>277</v>
      </c>
      <c r="C14" s="126" t="s">
        <v>277</v>
      </c>
      <c r="D14" s="126" t="s">
        <v>277</v>
      </c>
      <c r="E14" s="126" t="s">
        <v>277</v>
      </c>
      <c r="F14" s="126" t="s">
        <v>277</v>
      </c>
      <c r="Q14" s="126" t="s">
        <v>293</v>
      </c>
      <c r="R14" s="126" t="s">
        <v>278</v>
      </c>
      <c r="S14" s="126" t="s">
        <v>278</v>
      </c>
      <c r="T14" s="126" t="s">
        <v>278</v>
      </c>
      <c r="U14" s="126" t="s">
        <v>278</v>
      </c>
      <c r="V14" s="126" t="s">
        <v>278</v>
      </c>
      <c r="AH14" s="97" t="s">
        <v>294</v>
      </c>
      <c r="AI14" s="127">
        <v>2200000</v>
      </c>
      <c r="AJ14" s="93" t="s">
        <v>295</v>
      </c>
    </row>
    <row r="15" spans="1:36" x14ac:dyDescent="0.25">
      <c r="A15" s="97">
        <v>2019</v>
      </c>
      <c r="B15" s="119">
        <v>12.500999999999999</v>
      </c>
      <c r="C15" s="119">
        <v>7.5</v>
      </c>
      <c r="D15" s="119">
        <v>5</v>
      </c>
      <c r="E15" s="119">
        <v>1E-3</v>
      </c>
      <c r="F15" s="119">
        <v>1E-3</v>
      </c>
      <c r="Q15" s="97">
        <v>2019</v>
      </c>
      <c r="R15" s="93">
        <v>12.500999999999999</v>
      </c>
      <c r="S15" s="93">
        <v>7.5</v>
      </c>
      <c r="T15" s="93">
        <v>5</v>
      </c>
      <c r="U15" s="93">
        <v>1E-3</v>
      </c>
      <c r="V15" s="93">
        <v>1E-3</v>
      </c>
      <c r="AH15" s="97" t="s">
        <v>294</v>
      </c>
      <c r="AI15" s="127">
        <v>251141.55251141553</v>
      </c>
      <c r="AJ15" s="93" t="s">
        <v>296</v>
      </c>
    </row>
    <row r="16" spans="1:36" x14ac:dyDescent="0.25">
      <c r="A16" s="97">
        <v>2020</v>
      </c>
      <c r="B16" s="119">
        <v>12.701099999999999</v>
      </c>
      <c r="C16" s="119">
        <v>7.6</v>
      </c>
      <c r="D16" s="119">
        <v>5.0999999999999996</v>
      </c>
      <c r="E16" s="119">
        <v>1.1000000000000001E-3</v>
      </c>
      <c r="F16" s="119">
        <v>1.1000000000000001E-3</v>
      </c>
      <c r="Q16" s="97">
        <v>2020</v>
      </c>
      <c r="R16" s="93">
        <v>12.701099999999999</v>
      </c>
      <c r="S16" s="93">
        <v>7.6</v>
      </c>
      <c r="T16" s="93">
        <v>5.0999999999999996</v>
      </c>
      <c r="U16" s="93">
        <v>1.1000000000000001E-3</v>
      </c>
      <c r="V16" s="93">
        <v>1.1000000000000001E-3</v>
      </c>
      <c r="AH16" s="97" t="s">
        <v>294</v>
      </c>
      <c r="AI16" s="127">
        <v>73.605378813427762</v>
      </c>
      <c r="AJ16" s="93" t="s">
        <v>297</v>
      </c>
    </row>
    <row r="17" spans="1:37" x14ac:dyDescent="0.25">
      <c r="A17" s="97">
        <v>2025</v>
      </c>
      <c r="B17" s="119">
        <v>15.01</v>
      </c>
      <c r="C17" s="119">
        <v>9</v>
      </c>
      <c r="D17" s="119">
        <v>6</v>
      </c>
      <c r="E17" s="119">
        <v>0.01</v>
      </c>
      <c r="F17" s="119">
        <v>0.01</v>
      </c>
      <c r="Q17" s="97">
        <v>2025</v>
      </c>
      <c r="R17" s="93">
        <v>41</v>
      </c>
      <c r="S17" s="93">
        <v>24</v>
      </c>
      <c r="T17" s="93">
        <v>16</v>
      </c>
      <c r="U17" s="93">
        <v>1</v>
      </c>
      <c r="V17" s="93">
        <v>1</v>
      </c>
      <c r="AH17" s="97" t="s">
        <v>298</v>
      </c>
      <c r="AI17" s="127">
        <v>28.4</v>
      </c>
      <c r="AJ17" s="93" t="s">
        <v>299</v>
      </c>
    </row>
    <row r="18" spans="1:37" x14ac:dyDescent="0.25">
      <c r="A18" s="97">
        <v>2030</v>
      </c>
      <c r="B18" s="119">
        <v>25.5</v>
      </c>
      <c r="C18" s="119">
        <v>15</v>
      </c>
      <c r="D18" s="119">
        <v>10</v>
      </c>
      <c r="E18" s="119">
        <v>0.5</v>
      </c>
      <c r="F18" s="119">
        <v>0.5</v>
      </c>
      <c r="Q18" s="97">
        <v>2030</v>
      </c>
      <c r="R18" s="93">
        <v>99</v>
      </c>
      <c r="S18" s="93">
        <v>47.519999999999996</v>
      </c>
      <c r="T18" s="93">
        <v>31.680000000000007</v>
      </c>
      <c r="U18" s="93">
        <v>19.8</v>
      </c>
      <c r="V18" s="93">
        <v>19.8</v>
      </c>
      <c r="AH18" s="97" t="s">
        <v>298</v>
      </c>
      <c r="AI18" s="127">
        <v>3242009.1324200914</v>
      </c>
      <c r="AJ18" s="93" t="s">
        <v>296</v>
      </c>
    </row>
    <row r="19" spans="1:37" x14ac:dyDescent="0.25">
      <c r="A19" s="97">
        <v>2035</v>
      </c>
      <c r="B19" s="119">
        <v>40</v>
      </c>
      <c r="C19" s="119">
        <v>22</v>
      </c>
      <c r="D19" s="119">
        <v>14</v>
      </c>
      <c r="E19" s="119">
        <v>4</v>
      </c>
      <c r="F19" s="119">
        <v>4</v>
      </c>
      <c r="Q19" s="97">
        <v>2035</v>
      </c>
      <c r="R19" s="93">
        <v>300</v>
      </c>
      <c r="S19" s="93">
        <v>144</v>
      </c>
      <c r="T19" s="93">
        <v>96.000000000000014</v>
      </c>
      <c r="U19" s="93">
        <v>60</v>
      </c>
      <c r="V19" s="93">
        <v>60</v>
      </c>
      <c r="AH19" s="97" t="s">
        <v>298</v>
      </c>
      <c r="AI19" s="127">
        <v>950.17852650061297</v>
      </c>
      <c r="AJ19" s="93" t="s">
        <v>297</v>
      </c>
    </row>
    <row r="20" spans="1:37" x14ac:dyDescent="0.25">
      <c r="A20" s="97">
        <v>2040</v>
      </c>
      <c r="B20" s="119">
        <v>90</v>
      </c>
      <c r="C20" s="119">
        <v>43</v>
      </c>
      <c r="D20" s="119">
        <v>29</v>
      </c>
      <c r="E20" s="119">
        <v>18</v>
      </c>
      <c r="F20" s="119">
        <v>18</v>
      </c>
      <c r="Q20" s="97">
        <v>2040</v>
      </c>
      <c r="R20" s="93">
        <v>699</v>
      </c>
      <c r="S20" s="93">
        <v>335.52</v>
      </c>
      <c r="T20" s="93">
        <v>223.68000000000004</v>
      </c>
      <c r="U20" s="93">
        <v>139.80000000000001</v>
      </c>
      <c r="V20" s="93">
        <v>139.80000000000001</v>
      </c>
      <c r="AH20" s="97" t="s">
        <v>300</v>
      </c>
      <c r="AI20" s="127">
        <v>120</v>
      </c>
      <c r="AJ20" s="93" t="s">
        <v>299</v>
      </c>
    </row>
    <row r="21" spans="1:37" x14ac:dyDescent="0.25">
      <c r="A21" s="97">
        <v>2045</v>
      </c>
      <c r="B21" s="119">
        <v>150</v>
      </c>
      <c r="C21" s="119">
        <v>72</v>
      </c>
      <c r="D21" s="119">
        <v>48</v>
      </c>
      <c r="E21" s="119">
        <v>30</v>
      </c>
      <c r="F21" s="119">
        <v>30</v>
      </c>
      <c r="Q21" s="97">
        <v>2045</v>
      </c>
      <c r="R21" s="93">
        <v>1500</v>
      </c>
      <c r="S21" s="93">
        <v>720</v>
      </c>
      <c r="T21" s="93">
        <v>480.00000000000011</v>
      </c>
      <c r="U21" s="93">
        <v>300</v>
      </c>
      <c r="V21" s="93">
        <v>300</v>
      </c>
      <c r="AH21" s="97" t="s">
        <v>300</v>
      </c>
      <c r="AI21" s="127">
        <v>13698630.136986302</v>
      </c>
      <c r="AJ21" s="93" t="s">
        <v>296</v>
      </c>
    </row>
    <row r="22" spans="1:37" x14ac:dyDescent="0.25">
      <c r="A22" s="97">
        <v>2050</v>
      </c>
      <c r="B22" s="119">
        <v>280</v>
      </c>
      <c r="C22" s="119">
        <v>134</v>
      </c>
      <c r="D22" s="119">
        <v>90</v>
      </c>
      <c r="E22" s="119">
        <v>56</v>
      </c>
      <c r="F22" s="119">
        <v>56</v>
      </c>
      <c r="Q22" s="97">
        <v>2050</v>
      </c>
      <c r="R22" s="93">
        <v>2736</v>
      </c>
      <c r="S22" s="93">
        <v>1313.28</v>
      </c>
      <c r="T22" s="93">
        <v>875.52000000000021</v>
      </c>
      <c r="U22" s="93">
        <v>547.20000000000005</v>
      </c>
      <c r="V22" s="93">
        <v>547.20000000000005</v>
      </c>
      <c r="AH22" s="97" t="s">
        <v>300</v>
      </c>
      <c r="AI22" s="127">
        <v>4014.8388443687872</v>
      </c>
      <c r="AJ22" s="93" t="s">
        <v>297</v>
      </c>
    </row>
    <row r="23" spans="1:37" ht="15.5" x14ac:dyDescent="0.25">
      <c r="B23" s="80"/>
      <c r="R23" s="80"/>
    </row>
    <row r="24" spans="1:37" ht="15.5" x14ac:dyDescent="0.25">
      <c r="B24" s="80"/>
      <c r="R24" s="80"/>
    </row>
    <row r="25" spans="1:37" ht="15.5" x14ac:dyDescent="0.25">
      <c r="A25" s="80"/>
      <c r="C25" s="92" t="s">
        <v>301</v>
      </c>
      <c r="D25" s="92" t="s">
        <v>302</v>
      </c>
      <c r="E25" s="92" t="s">
        <v>303</v>
      </c>
      <c r="F25" s="92" t="s">
        <v>304</v>
      </c>
      <c r="G25" s="92" t="s">
        <v>305</v>
      </c>
      <c r="H25" s="92" t="s">
        <v>306</v>
      </c>
      <c r="I25" s="92" t="s">
        <v>307</v>
      </c>
      <c r="J25" s="80"/>
      <c r="K25" s="80"/>
      <c r="L25" s="80"/>
      <c r="M25" s="80"/>
      <c r="N25" s="80"/>
      <c r="O25" s="80"/>
      <c r="P25" s="80"/>
      <c r="Q25" s="80"/>
      <c r="S25" s="92" t="s">
        <v>301</v>
      </c>
      <c r="T25" s="92" t="s">
        <v>302</v>
      </c>
      <c r="U25" s="92" t="s">
        <v>303</v>
      </c>
      <c r="V25" s="92" t="s">
        <v>304</v>
      </c>
      <c r="W25" s="92" t="s">
        <v>305</v>
      </c>
      <c r="X25" s="92" t="s">
        <v>306</v>
      </c>
      <c r="Y25" s="92" t="s">
        <v>307</v>
      </c>
      <c r="Z25" s="80"/>
      <c r="AA25" s="80"/>
      <c r="AB25" s="80"/>
      <c r="AC25" s="80"/>
      <c r="AD25" s="80"/>
      <c r="AE25" s="80"/>
    </row>
    <row r="26" spans="1:37" ht="13" x14ac:dyDescent="0.25">
      <c r="B26" s="92" t="s">
        <v>308</v>
      </c>
      <c r="C26" s="97" t="s">
        <v>309</v>
      </c>
      <c r="D26" s="97" t="s">
        <v>309</v>
      </c>
      <c r="E26" s="97" t="s">
        <v>309</v>
      </c>
      <c r="F26" s="97" t="s">
        <v>309</v>
      </c>
      <c r="G26" s="97" t="s">
        <v>309</v>
      </c>
      <c r="H26" s="97" t="s">
        <v>309</v>
      </c>
      <c r="I26" s="97" t="s">
        <v>309</v>
      </c>
      <c r="R26" s="92" t="s">
        <v>308</v>
      </c>
      <c r="S26" s="97" t="s">
        <v>309</v>
      </c>
      <c r="T26" s="97" t="s">
        <v>309</v>
      </c>
      <c r="U26" s="97" t="s">
        <v>309</v>
      </c>
      <c r="V26" s="97" t="s">
        <v>309</v>
      </c>
      <c r="W26" s="97" t="s">
        <v>309</v>
      </c>
      <c r="X26" s="97" t="s">
        <v>309</v>
      </c>
      <c r="Y26" s="97" t="s">
        <v>309</v>
      </c>
    </row>
    <row r="27" spans="1:37" x14ac:dyDescent="0.25">
      <c r="A27" s="126" t="s">
        <v>293</v>
      </c>
      <c r="B27" s="126" t="s">
        <v>277</v>
      </c>
      <c r="C27" s="126" t="s">
        <v>277</v>
      </c>
      <c r="D27" s="126" t="s">
        <v>277</v>
      </c>
      <c r="E27" s="126" t="s">
        <v>277</v>
      </c>
      <c r="F27" s="126" t="s">
        <v>277</v>
      </c>
      <c r="G27" s="126" t="s">
        <v>277</v>
      </c>
      <c r="H27" s="126" t="s">
        <v>277</v>
      </c>
      <c r="I27" s="126" t="s">
        <v>277</v>
      </c>
      <c r="Q27" s="126" t="s">
        <v>293</v>
      </c>
      <c r="R27" s="126" t="s">
        <v>278</v>
      </c>
      <c r="S27" s="126" t="s">
        <v>278</v>
      </c>
      <c r="T27" s="126" t="s">
        <v>278</v>
      </c>
      <c r="U27" s="126" t="s">
        <v>278</v>
      </c>
      <c r="V27" s="126" t="s">
        <v>278</v>
      </c>
      <c r="W27" s="126" t="s">
        <v>278</v>
      </c>
      <c r="X27" s="126" t="s">
        <v>278</v>
      </c>
      <c r="Y27" s="126" t="s">
        <v>278</v>
      </c>
    </row>
    <row r="28" spans="1:37" x14ac:dyDescent="0.25">
      <c r="A28" s="97">
        <v>2019</v>
      </c>
      <c r="B28" s="128">
        <v>12.500999999999999</v>
      </c>
      <c r="C28" s="128">
        <v>1.6667999999999998</v>
      </c>
      <c r="D28" s="128">
        <v>0.22028322304269857</v>
      </c>
      <c r="E28" s="128">
        <v>7.4841950160891031</v>
      </c>
      <c r="F28" s="128">
        <v>5.6271441330445509</v>
      </c>
      <c r="G28" s="128">
        <v>1.3997870977722775</v>
      </c>
      <c r="H28" s="128">
        <v>12.500999999999999</v>
      </c>
      <c r="I28" s="128">
        <v>12.500999999999999</v>
      </c>
      <c r="Q28" s="97">
        <v>2019</v>
      </c>
      <c r="R28" s="127">
        <v>12.500999999999999</v>
      </c>
      <c r="S28" s="128">
        <v>1.6667999999999998</v>
      </c>
      <c r="T28" s="128">
        <v>0.22028322304269857</v>
      </c>
      <c r="U28" s="128">
        <v>7.4841950160891031</v>
      </c>
      <c r="V28" s="128">
        <v>5.6271441330445509</v>
      </c>
      <c r="W28" s="128">
        <v>1.3997870977722775</v>
      </c>
      <c r="X28" s="128">
        <v>12.500999999999999</v>
      </c>
      <c r="Y28" s="128">
        <v>12.500999999999999</v>
      </c>
      <c r="AH28" s="9"/>
      <c r="AK28" s="9"/>
    </row>
    <row r="29" spans="1:37" x14ac:dyDescent="0.25">
      <c r="A29" s="97">
        <v>2020</v>
      </c>
      <c r="B29" s="128">
        <v>12.701099999999999</v>
      </c>
      <c r="C29" s="128">
        <v>1.6711973684210499</v>
      </c>
      <c r="D29" s="128">
        <v>0.22380923479622469</v>
      </c>
      <c r="E29" s="128">
        <v>7.603992426113857</v>
      </c>
      <c r="F29" s="128">
        <v>5.7172162505569224</v>
      </c>
      <c r="G29" s="128">
        <v>1.4221930971534635</v>
      </c>
      <c r="H29" s="128">
        <v>12.701099999999999</v>
      </c>
      <c r="I29" s="128">
        <v>12.701099999999999</v>
      </c>
      <c r="Q29" s="97">
        <v>2020</v>
      </c>
      <c r="R29" s="127">
        <v>12.701099999999999</v>
      </c>
      <c r="S29" s="128">
        <v>1.6711973684210526</v>
      </c>
      <c r="T29" s="128">
        <v>0.22380923479622503</v>
      </c>
      <c r="U29" s="128">
        <v>7.6039924261138694</v>
      </c>
      <c r="V29" s="128">
        <v>5.7172162505569313</v>
      </c>
      <c r="W29" s="128">
        <v>1.4221930971534658</v>
      </c>
      <c r="X29" s="128">
        <v>12.701099999999999</v>
      </c>
      <c r="Y29" s="128">
        <v>12.701099999999999</v>
      </c>
      <c r="AH29" s="9"/>
      <c r="AK29" s="9"/>
    </row>
    <row r="30" spans="1:37" x14ac:dyDescent="0.25">
      <c r="A30" s="97">
        <v>2025</v>
      </c>
      <c r="B30" s="128">
        <v>15.01</v>
      </c>
      <c r="C30" s="128">
        <v>1.66777777777778</v>
      </c>
      <c r="D30" s="128">
        <v>0.26449493463490098</v>
      </c>
      <c r="E30" s="128">
        <v>8.9863024711221176</v>
      </c>
      <c r="F30" s="128">
        <v>6.7565341522277294</v>
      </c>
      <c r="G30" s="128">
        <v>1.6807298886138622</v>
      </c>
      <c r="H30" s="128">
        <v>15.01</v>
      </c>
      <c r="I30" s="128">
        <v>15.01</v>
      </c>
      <c r="Q30" s="97">
        <v>2025</v>
      </c>
      <c r="R30" s="127">
        <v>41</v>
      </c>
      <c r="S30" s="128">
        <v>4.5555555555555554</v>
      </c>
      <c r="T30" s="128">
        <v>0.72247117388613757</v>
      </c>
      <c r="U30" s="128">
        <v>24.546195957095691</v>
      </c>
      <c r="V30" s="128">
        <v>18.455556311881182</v>
      </c>
      <c r="W30" s="128">
        <v>4.5909344059405894</v>
      </c>
      <c r="X30" s="128">
        <v>41</v>
      </c>
      <c r="Y30" s="128">
        <v>41</v>
      </c>
      <c r="AH30" s="9"/>
      <c r="AK30" s="9"/>
    </row>
    <row r="31" spans="1:37" x14ac:dyDescent="0.25">
      <c r="A31" s="97">
        <v>2030</v>
      </c>
      <c r="B31" s="128">
        <v>25.5</v>
      </c>
      <c r="C31" s="128">
        <v>1.7</v>
      </c>
      <c r="D31" s="128">
        <v>0.44934182766089054</v>
      </c>
      <c r="E31" s="128">
        <v>15.266536509900995</v>
      </c>
      <c r="F31" s="128">
        <v>11.47845575495049</v>
      </c>
      <c r="G31" s="128">
        <v>2.8553372524752452</v>
      </c>
      <c r="H31" s="128">
        <v>25.5</v>
      </c>
      <c r="I31" s="128">
        <v>25.5</v>
      </c>
      <c r="Q31" s="97">
        <v>2030</v>
      </c>
      <c r="R31" s="127">
        <v>99</v>
      </c>
      <c r="S31" s="128">
        <v>6.6</v>
      </c>
      <c r="T31" s="128">
        <v>1.7445035662128692</v>
      </c>
      <c r="U31" s="128">
        <v>59.270082920792092</v>
      </c>
      <c r="V31" s="128">
        <v>44.563416460396013</v>
      </c>
      <c r="W31" s="128">
        <v>11.08542698019801</v>
      </c>
      <c r="X31" s="128">
        <v>99</v>
      </c>
      <c r="Y31" s="128">
        <v>99</v>
      </c>
      <c r="AH31" s="9"/>
      <c r="AK31" s="9"/>
    </row>
    <row r="32" spans="1:37" x14ac:dyDescent="0.25">
      <c r="A32" s="97">
        <v>2035</v>
      </c>
      <c r="B32" s="128">
        <v>40</v>
      </c>
      <c r="C32" s="128">
        <v>1.8181818181818181</v>
      </c>
      <c r="D32" s="128">
        <v>0.70484992574257455</v>
      </c>
      <c r="E32" s="128">
        <v>23.947508250825088</v>
      </c>
      <c r="F32" s="128">
        <v>18.0054207920792</v>
      </c>
      <c r="G32" s="128">
        <v>4.4789603960396001</v>
      </c>
      <c r="H32" s="128">
        <v>40</v>
      </c>
      <c r="I32" s="128">
        <v>40</v>
      </c>
      <c r="Q32" s="97">
        <v>2035</v>
      </c>
      <c r="R32" s="127">
        <v>300</v>
      </c>
      <c r="S32" s="128">
        <v>13.636363636363637</v>
      </c>
      <c r="T32" s="128">
        <v>5.2863744430693087</v>
      </c>
      <c r="U32" s="128">
        <v>179.60631188118819</v>
      </c>
      <c r="V32" s="128">
        <v>135.04065594059401</v>
      </c>
      <c r="W32" s="128">
        <v>33.592202970297002</v>
      </c>
      <c r="X32" s="128">
        <v>300</v>
      </c>
      <c r="Y32" s="128">
        <v>300</v>
      </c>
      <c r="AH32" s="9"/>
      <c r="AK32" s="9"/>
    </row>
    <row r="33" spans="1:64" x14ac:dyDescent="0.25">
      <c r="A33" s="97">
        <v>2040</v>
      </c>
      <c r="B33" s="128">
        <v>90</v>
      </c>
      <c r="C33" s="128">
        <v>2.0930232558139537</v>
      </c>
      <c r="D33" s="128">
        <v>1.5859123329207914</v>
      </c>
      <c r="E33" s="128">
        <v>53.881893564356524</v>
      </c>
      <c r="F33" s="128">
        <v>40.512196782178123</v>
      </c>
      <c r="G33" s="128">
        <v>10.077660891089121</v>
      </c>
      <c r="H33" s="128">
        <v>90</v>
      </c>
      <c r="I33" s="128">
        <v>90</v>
      </c>
      <c r="Q33" s="97">
        <v>2040</v>
      </c>
      <c r="R33" s="127">
        <v>699</v>
      </c>
      <c r="S33" s="128">
        <v>16.255813953488371</v>
      </c>
      <c r="T33" s="128">
        <v>12.317252452351479</v>
      </c>
      <c r="U33" s="128">
        <v>418.48270668316894</v>
      </c>
      <c r="V33" s="128">
        <v>314.64472834158335</v>
      </c>
      <c r="W33" s="128">
        <v>78.269832920792169</v>
      </c>
      <c r="X33" s="128">
        <v>699</v>
      </c>
      <c r="Y33" s="128">
        <v>699</v>
      </c>
      <c r="AH33" s="9"/>
      <c r="AK33" s="9"/>
    </row>
    <row r="34" spans="1:64" x14ac:dyDescent="0.25">
      <c r="A34" s="97">
        <v>2045</v>
      </c>
      <c r="B34" s="128">
        <v>150</v>
      </c>
      <c r="C34" s="128">
        <v>2.0833333333333335</v>
      </c>
      <c r="D34" s="128">
        <v>2.6431872215346459</v>
      </c>
      <c r="E34" s="128">
        <v>89.803155940594181</v>
      </c>
      <c r="F34" s="128">
        <v>67.520327970297089</v>
      </c>
      <c r="G34" s="128">
        <v>16.796101485148522</v>
      </c>
      <c r="H34" s="128">
        <v>150</v>
      </c>
      <c r="I34" s="128">
        <v>150</v>
      </c>
      <c r="Q34" s="97">
        <v>2045</v>
      </c>
      <c r="R34" s="127">
        <v>1500</v>
      </c>
      <c r="S34" s="128">
        <v>20.833333333333332</v>
      </c>
      <c r="T34" s="128">
        <v>26.431872215346456</v>
      </c>
      <c r="U34" s="128">
        <v>898.03155940594172</v>
      </c>
      <c r="V34" s="128">
        <v>675.20327970297069</v>
      </c>
      <c r="W34" s="128">
        <v>167.9610148514852</v>
      </c>
      <c r="X34" s="128">
        <v>1500</v>
      </c>
      <c r="Y34" s="128">
        <v>1500</v>
      </c>
      <c r="AH34" s="9"/>
      <c r="AK34" s="9"/>
    </row>
    <row r="35" spans="1:64" x14ac:dyDescent="0.25">
      <c r="A35" s="97">
        <v>2050</v>
      </c>
      <c r="B35" s="128">
        <v>280</v>
      </c>
      <c r="C35" s="128">
        <v>2.08955223880597</v>
      </c>
      <c r="D35" s="128">
        <v>4.9339494801980122</v>
      </c>
      <c r="E35" s="128">
        <v>167.63255775577554</v>
      </c>
      <c r="F35" s="128">
        <v>126.03794554455435</v>
      </c>
      <c r="G35" s="128">
        <v>31.352722772277279</v>
      </c>
      <c r="H35" s="128">
        <v>280</v>
      </c>
      <c r="I35" s="128">
        <v>280</v>
      </c>
      <c r="Q35" s="97">
        <v>2050</v>
      </c>
      <c r="R35" s="127">
        <v>2736</v>
      </c>
      <c r="S35" s="128">
        <v>20.417910447761194</v>
      </c>
      <c r="T35" s="128">
        <v>48.211734920792004</v>
      </c>
      <c r="U35" s="128">
        <v>1638.0095643564352</v>
      </c>
      <c r="V35" s="128">
        <v>1231.5707821782169</v>
      </c>
      <c r="W35" s="128">
        <v>306.36089108910943</v>
      </c>
      <c r="X35" s="128">
        <v>2736</v>
      </c>
      <c r="Y35" s="128">
        <v>2736</v>
      </c>
      <c r="AH35" s="9"/>
      <c r="AK35" s="9"/>
    </row>
    <row r="36" spans="1:64" x14ac:dyDescent="0.25">
      <c r="A36" s="9"/>
      <c r="B36" s="9"/>
      <c r="C36" s="9"/>
      <c r="D36" s="9"/>
      <c r="E36" s="9"/>
      <c r="F36" s="9"/>
      <c r="G36" s="9"/>
      <c r="H36" s="9"/>
      <c r="I36" s="9"/>
      <c r="J36" s="9"/>
      <c r="K36" s="9"/>
      <c r="L36" s="9"/>
      <c r="M36" s="9"/>
      <c r="Q36" s="9"/>
      <c r="R36" s="9"/>
      <c r="S36" s="9"/>
      <c r="T36" s="9"/>
      <c r="U36" s="9"/>
      <c r="V36" s="9"/>
      <c r="W36" s="9"/>
      <c r="X36" s="9"/>
      <c r="Y36" s="9"/>
      <c r="Z36" s="9"/>
      <c r="AA36" s="9"/>
      <c r="AB36" s="9"/>
      <c r="AC36" s="9"/>
    </row>
    <row r="37" spans="1:64" s="91" customFormat="1" ht="17" thickBot="1" x14ac:dyDescent="0.4">
      <c r="A37" s="8"/>
      <c r="B37" s="120" t="s">
        <v>310</v>
      </c>
      <c r="C37" s="120"/>
      <c r="D37" s="120"/>
      <c r="E37" s="120"/>
      <c r="F37" s="120"/>
      <c r="P37" s="8"/>
      <c r="Q37" s="8"/>
      <c r="R37" s="120" t="s">
        <v>310</v>
      </c>
      <c r="S37" s="120"/>
      <c r="T37" s="120"/>
      <c r="U37" s="120"/>
      <c r="V37" s="120"/>
    </row>
    <row r="38" spans="1:64" customForma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row>
    <row r="39" spans="1:64" ht="13" x14ac:dyDescent="0.25">
      <c r="B39" s="292" t="s">
        <v>311</v>
      </c>
      <c r="C39" s="293"/>
      <c r="D39" s="293"/>
      <c r="E39" s="293"/>
      <c r="F39" s="293"/>
      <c r="G39" s="293"/>
      <c r="H39" s="294"/>
      <c r="I39" s="292" t="s">
        <v>312</v>
      </c>
      <c r="J39" s="293"/>
      <c r="K39" s="294"/>
      <c r="L39" s="292" t="s">
        <v>313</v>
      </c>
      <c r="M39" s="294"/>
      <c r="N39" s="292" t="s">
        <v>314</v>
      </c>
      <c r="O39" s="294"/>
      <c r="P39" s="9"/>
      <c r="R39" s="292" t="s">
        <v>311</v>
      </c>
      <c r="S39" s="293"/>
      <c r="T39" s="293"/>
      <c r="U39" s="293"/>
      <c r="V39" s="293"/>
      <c r="W39" s="294"/>
      <c r="X39" s="292" t="s">
        <v>312</v>
      </c>
      <c r="Y39" s="293"/>
      <c r="Z39" s="293"/>
      <c r="AA39" s="294"/>
      <c r="AB39" s="92" t="s">
        <v>313</v>
      </c>
      <c r="AC39" s="92" t="s">
        <v>315</v>
      </c>
      <c r="AD39" s="92" t="s">
        <v>314</v>
      </c>
      <c r="AE39" s="92"/>
    </row>
    <row r="40" spans="1:64" x14ac:dyDescent="0.25">
      <c r="B40" s="97" t="s">
        <v>316</v>
      </c>
      <c r="C40" s="97" t="s">
        <v>317</v>
      </c>
      <c r="D40" s="97" t="s">
        <v>46</v>
      </c>
      <c r="E40" s="97" t="s">
        <v>318</v>
      </c>
      <c r="F40" s="97" t="s">
        <v>319</v>
      </c>
      <c r="G40" s="97" t="s">
        <v>47</v>
      </c>
      <c r="H40" s="97" t="s">
        <v>37</v>
      </c>
      <c r="I40" s="97" t="s">
        <v>320</v>
      </c>
      <c r="J40" s="97" t="s">
        <v>321</v>
      </c>
      <c r="K40" s="97" t="s">
        <v>305</v>
      </c>
      <c r="L40" s="97" t="s">
        <v>322</v>
      </c>
      <c r="M40" s="97" t="s">
        <v>323</v>
      </c>
      <c r="N40" s="97" t="s">
        <v>324</v>
      </c>
      <c r="O40" s="97" t="s">
        <v>325</v>
      </c>
      <c r="P40" s="9"/>
      <c r="R40" s="97" t="s">
        <v>316</v>
      </c>
      <c r="S40" s="97" t="s">
        <v>317</v>
      </c>
      <c r="T40" s="97" t="s">
        <v>46</v>
      </c>
      <c r="U40" s="97" t="s">
        <v>318</v>
      </c>
      <c r="V40" s="97" t="s">
        <v>319</v>
      </c>
      <c r="W40" s="97" t="s">
        <v>47</v>
      </c>
      <c r="X40" s="97" t="s">
        <v>37</v>
      </c>
      <c r="Y40" s="97" t="s">
        <v>320</v>
      </c>
      <c r="Z40" s="97" t="s">
        <v>321</v>
      </c>
      <c r="AA40" s="97" t="s">
        <v>305</v>
      </c>
      <c r="AB40" s="97" t="s">
        <v>322</v>
      </c>
      <c r="AC40" s="97" t="s">
        <v>323</v>
      </c>
      <c r="AD40" s="97" t="s">
        <v>324</v>
      </c>
      <c r="AE40" s="97" t="s">
        <v>325</v>
      </c>
    </row>
    <row r="41" spans="1:64" x14ac:dyDescent="0.25">
      <c r="A41" s="126" t="s">
        <v>293</v>
      </c>
      <c r="B41" s="126" t="s">
        <v>277</v>
      </c>
      <c r="C41" s="126" t="s">
        <v>277</v>
      </c>
      <c r="D41" s="126" t="s">
        <v>277</v>
      </c>
      <c r="E41" s="126" t="s">
        <v>277</v>
      </c>
      <c r="F41" s="126" t="s">
        <v>277</v>
      </c>
      <c r="G41" s="126" t="s">
        <v>277</v>
      </c>
      <c r="H41" s="126" t="s">
        <v>277</v>
      </c>
      <c r="I41" s="126" t="s">
        <v>277</v>
      </c>
      <c r="J41" s="126" t="s">
        <v>277</v>
      </c>
      <c r="K41" s="126" t="s">
        <v>277</v>
      </c>
      <c r="L41" s="126" t="s">
        <v>277</v>
      </c>
      <c r="M41" s="126" t="s">
        <v>277</v>
      </c>
      <c r="N41" s="126" t="s">
        <v>277</v>
      </c>
      <c r="O41" s="126" t="s">
        <v>277</v>
      </c>
      <c r="Q41" s="126" t="s">
        <v>293</v>
      </c>
      <c r="R41" s="126" t="s">
        <v>278</v>
      </c>
      <c r="S41" s="126" t="s">
        <v>278</v>
      </c>
      <c r="T41" s="126" t="s">
        <v>278</v>
      </c>
      <c r="U41" s="126" t="s">
        <v>278</v>
      </c>
      <c r="V41" s="126" t="s">
        <v>278</v>
      </c>
      <c r="W41" s="126" t="s">
        <v>278</v>
      </c>
      <c r="X41" s="126" t="s">
        <v>278</v>
      </c>
      <c r="Y41" s="126" t="s">
        <v>278</v>
      </c>
      <c r="Z41" s="126" t="s">
        <v>278</v>
      </c>
      <c r="AA41" s="126" t="s">
        <v>278</v>
      </c>
      <c r="AB41" s="126" t="s">
        <v>278</v>
      </c>
      <c r="AC41" s="126" t="s">
        <v>278</v>
      </c>
      <c r="AD41" s="126" t="s">
        <v>278</v>
      </c>
      <c r="AE41" s="126" t="s">
        <v>278</v>
      </c>
    </row>
    <row r="42" spans="1:64" x14ac:dyDescent="0.25">
      <c r="A42" s="97">
        <v>2019</v>
      </c>
      <c r="B42" s="129">
        <v>1820411.8226645801</v>
      </c>
      <c r="C42" s="129">
        <v>63630.059523809527</v>
      </c>
      <c r="D42" s="129">
        <v>0</v>
      </c>
      <c r="E42" s="129">
        <v>456250</v>
      </c>
      <c r="F42" s="129">
        <v>482184.21052631579</v>
      </c>
      <c r="G42" s="129">
        <v>482184.21052631579</v>
      </c>
      <c r="H42" s="129">
        <v>340</v>
      </c>
      <c r="I42" s="129">
        <v>1774.3449917732401</v>
      </c>
      <c r="J42" s="129">
        <v>682</v>
      </c>
      <c r="K42" s="129">
        <v>400</v>
      </c>
      <c r="L42" s="135">
        <v>3.1885663909648533E-3</v>
      </c>
      <c r="M42" s="134">
        <v>2.3696682464454977</v>
      </c>
      <c r="N42" s="129">
        <v>660000</v>
      </c>
      <c r="O42" s="129">
        <v>4100000</v>
      </c>
      <c r="Q42" s="97">
        <v>2019</v>
      </c>
      <c r="R42" s="129">
        <v>1820411.8226645801</v>
      </c>
      <c r="S42" s="129">
        <v>43719.791666666701</v>
      </c>
      <c r="T42" s="129">
        <v>0</v>
      </c>
      <c r="U42" s="129">
        <v>315725</v>
      </c>
      <c r="V42" s="129">
        <v>259342.10526315789</v>
      </c>
      <c r="W42" s="129">
        <v>315725</v>
      </c>
      <c r="X42" s="129">
        <v>340</v>
      </c>
      <c r="Y42" s="129">
        <v>1105.6050344347825</v>
      </c>
      <c r="Z42" s="129">
        <v>682</v>
      </c>
      <c r="AA42" s="129">
        <v>400</v>
      </c>
      <c r="AB42" s="135">
        <v>3.1885663909648533E-3</v>
      </c>
      <c r="AC42" s="129">
        <v>2.3696682464454977</v>
      </c>
      <c r="AD42" s="129">
        <v>330000</v>
      </c>
      <c r="AE42" s="129">
        <v>500000</v>
      </c>
      <c r="AG42" s="9"/>
      <c r="AH42" s="11"/>
      <c r="AJ42" s="9"/>
      <c r="AK42" s="11"/>
      <c r="AP42" s="11"/>
      <c r="AQ42" s="11"/>
      <c r="AW42" s="10"/>
      <c r="BG42" s="9"/>
    </row>
    <row r="43" spans="1:64" x14ac:dyDescent="0.25">
      <c r="A43" s="97">
        <v>2020</v>
      </c>
      <c r="B43" s="129">
        <v>1816023.0052994625</v>
      </c>
      <c r="C43" s="129">
        <v>63476.654285113153</v>
      </c>
      <c r="D43" s="129">
        <v>0</v>
      </c>
      <c r="E43" s="129">
        <v>455150.03025804128</v>
      </c>
      <c r="F43" s="129">
        <v>482184.21052631579</v>
      </c>
      <c r="G43" s="129">
        <v>482184.21052631579</v>
      </c>
      <c r="H43" s="129">
        <v>339.18029652106071</v>
      </c>
      <c r="I43" s="129">
        <v>1774.3449917732401</v>
      </c>
      <c r="J43" s="129">
        <v>682</v>
      </c>
      <c r="K43" s="129">
        <v>400</v>
      </c>
      <c r="L43" s="135">
        <v>3.1885663909648533E-3</v>
      </c>
      <c r="M43" s="134">
        <v>2.3696682464454977</v>
      </c>
      <c r="N43" s="129">
        <v>660000</v>
      </c>
      <c r="O43" s="129">
        <v>4100000</v>
      </c>
      <c r="Q43" s="97">
        <v>2020</v>
      </c>
      <c r="R43" s="129">
        <v>1814132.5286038269</v>
      </c>
      <c r="S43" s="129">
        <v>43568.98544538649</v>
      </c>
      <c r="T43" s="129">
        <v>0</v>
      </c>
      <c r="U43" s="129">
        <v>314635.94416513434</v>
      </c>
      <c r="V43" s="129">
        <v>259342.10526315789</v>
      </c>
      <c r="W43" s="129">
        <v>314635.94416513434</v>
      </c>
      <c r="X43" s="129">
        <v>338.82721043992575</v>
      </c>
      <c r="Y43" s="129">
        <v>1105.6050344347825</v>
      </c>
      <c r="Z43" s="129">
        <v>682</v>
      </c>
      <c r="AA43" s="129">
        <v>400</v>
      </c>
      <c r="AB43" s="135">
        <v>3.1885663909648533E-3</v>
      </c>
      <c r="AC43" s="134">
        <v>2.3696682464454977</v>
      </c>
      <c r="AD43" s="129">
        <v>330000</v>
      </c>
      <c r="AE43" s="129">
        <v>500000</v>
      </c>
      <c r="AG43" s="9"/>
      <c r="AH43" s="11"/>
      <c r="AI43" s="9"/>
      <c r="AJ43" s="9"/>
      <c r="AK43" s="11"/>
      <c r="AP43" s="9"/>
      <c r="AQ43" s="9"/>
      <c r="AW43" s="9"/>
      <c r="AZ43" s="9"/>
      <c r="BA43" s="9"/>
      <c r="BB43" s="9"/>
      <c r="BC43" s="9"/>
      <c r="BF43" s="9"/>
      <c r="BG43" s="9"/>
      <c r="BH43" s="9"/>
      <c r="BI43" s="9"/>
      <c r="BL43" s="9"/>
    </row>
    <row r="44" spans="1:64" x14ac:dyDescent="0.25">
      <c r="A44" s="97">
        <v>2025</v>
      </c>
      <c r="B44" s="129">
        <v>1770496.7716841144</v>
      </c>
      <c r="C44" s="129">
        <v>61885.345703849765</v>
      </c>
      <c r="D44" s="129">
        <v>0</v>
      </c>
      <c r="E44" s="129">
        <v>443739.78570326848</v>
      </c>
      <c r="F44" s="129">
        <v>482184.21052631579</v>
      </c>
      <c r="G44" s="129">
        <v>482184.21052631579</v>
      </c>
      <c r="H44" s="129">
        <v>330.67731975695602</v>
      </c>
      <c r="I44" s="129">
        <v>1774.3449917732401</v>
      </c>
      <c r="J44" s="129">
        <v>682</v>
      </c>
      <c r="K44" s="129">
        <v>400</v>
      </c>
      <c r="L44" s="135">
        <v>3.1885663909648533E-3</v>
      </c>
      <c r="M44" s="134">
        <v>2.3696682464454977</v>
      </c>
      <c r="N44" s="129">
        <v>660000</v>
      </c>
      <c r="O44" s="129">
        <v>4100000</v>
      </c>
      <c r="Q44" s="97">
        <v>2025</v>
      </c>
      <c r="R44" s="129">
        <v>1405812.7473174047</v>
      </c>
      <c r="S44" s="129">
        <v>33762.60232429063</v>
      </c>
      <c r="T44" s="129">
        <v>0</v>
      </c>
      <c r="U44" s="129">
        <v>243818.58221350898</v>
      </c>
      <c r="V44" s="129">
        <v>259342.10526315789</v>
      </c>
      <c r="W44" s="129">
        <v>259342.10526315789</v>
      </c>
      <c r="X44" s="129">
        <v>262.56494719326304</v>
      </c>
      <c r="Y44" s="129">
        <v>1105.6050344347825</v>
      </c>
      <c r="Z44" s="129">
        <v>682</v>
      </c>
      <c r="AA44" s="129">
        <v>400</v>
      </c>
      <c r="AB44" s="135">
        <v>3.1885663909648533E-3</v>
      </c>
      <c r="AC44" s="129">
        <v>2.3696682464454977</v>
      </c>
      <c r="AD44" s="129">
        <v>330000</v>
      </c>
      <c r="AE44" s="129">
        <v>500000</v>
      </c>
      <c r="AG44" s="9"/>
      <c r="AH44" s="11"/>
      <c r="AI44" s="9"/>
      <c r="AJ44" s="9"/>
      <c r="AK44" s="11"/>
      <c r="AP44" s="9"/>
      <c r="AQ44" s="9"/>
      <c r="AW44" s="9"/>
      <c r="AZ44" s="9"/>
      <c r="BA44" s="9"/>
      <c r="BB44" s="9"/>
      <c r="BC44" s="9"/>
      <c r="BF44" s="9"/>
      <c r="BG44" s="9"/>
      <c r="BH44" s="9"/>
      <c r="BI44" s="9"/>
      <c r="BL44" s="9"/>
    </row>
    <row r="45" spans="1:64" x14ac:dyDescent="0.25">
      <c r="A45" s="97">
        <v>2030</v>
      </c>
      <c r="B45" s="129">
        <v>1633466.322670999</v>
      </c>
      <c r="C45" s="129">
        <v>57095.629707325257</v>
      </c>
      <c r="D45" s="129">
        <v>0</v>
      </c>
      <c r="E45" s="129">
        <v>409395.83034995635</v>
      </c>
      <c r="F45" s="129">
        <v>482184.21052631579</v>
      </c>
      <c r="G45" s="129">
        <v>482184.21052631579</v>
      </c>
      <c r="H45" s="129">
        <v>305.08401604161105</v>
      </c>
      <c r="I45" s="129">
        <v>1774.3449917732401</v>
      </c>
      <c r="J45" s="129">
        <v>682</v>
      </c>
      <c r="K45" s="129">
        <v>400</v>
      </c>
      <c r="L45" s="135">
        <v>3.1885663909648533E-3</v>
      </c>
      <c r="M45" s="134">
        <v>2.3696682464454977</v>
      </c>
      <c r="N45" s="129">
        <v>660000</v>
      </c>
      <c r="O45" s="129">
        <v>4100000</v>
      </c>
      <c r="Q45" s="97">
        <v>2030</v>
      </c>
      <c r="R45" s="129">
        <v>1160438.9701731375</v>
      </c>
      <c r="S45" s="129">
        <v>27869.600376243459</v>
      </c>
      <c r="T45" s="129">
        <v>0</v>
      </c>
      <c r="U45" s="129">
        <v>201261.92837049108</v>
      </c>
      <c r="V45" s="129">
        <v>259342.10526315789</v>
      </c>
      <c r="W45" s="129">
        <v>259342.10526315789</v>
      </c>
      <c r="X45" s="129">
        <v>216.73625986528435</v>
      </c>
      <c r="Y45" s="129">
        <v>1105.6050344347825</v>
      </c>
      <c r="Z45" s="129">
        <v>682</v>
      </c>
      <c r="AA45" s="129">
        <v>400</v>
      </c>
      <c r="AB45" s="135">
        <v>3.1885663909648533E-3</v>
      </c>
      <c r="AC45" s="129">
        <v>2.3696682464454977</v>
      </c>
      <c r="AD45" s="129">
        <v>330000</v>
      </c>
      <c r="AE45" s="129">
        <v>500000</v>
      </c>
      <c r="AG45" s="9"/>
      <c r="AH45" s="11"/>
      <c r="AI45" s="9"/>
      <c r="AJ45" s="9"/>
      <c r="AK45" s="11"/>
      <c r="AP45" s="9"/>
      <c r="AQ45" s="9"/>
      <c r="AW45" s="9"/>
      <c r="AZ45" s="9"/>
      <c r="BA45" s="9"/>
      <c r="BB45" s="9"/>
      <c r="BC45" s="9"/>
      <c r="BF45" s="9"/>
      <c r="BG45" s="9"/>
      <c r="BH45" s="9"/>
      <c r="BI45" s="9"/>
      <c r="BL45" s="9"/>
    </row>
    <row r="46" spans="1:64" x14ac:dyDescent="0.25">
      <c r="A46" s="97">
        <v>2035</v>
      </c>
      <c r="B46" s="129">
        <v>1525423.978654199</v>
      </c>
      <c r="C46" s="129">
        <v>53319.154134441887</v>
      </c>
      <c r="D46" s="129">
        <v>0</v>
      </c>
      <c r="E46" s="129">
        <v>382317.16669597523</v>
      </c>
      <c r="F46" s="129">
        <v>482184.21052631579</v>
      </c>
      <c r="G46" s="129">
        <v>482184.21052631579</v>
      </c>
      <c r="H46" s="129">
        <v>284.90484751042516</v>
      </c>
      <c r="I46" s="129">
        <v>1774.3449917732401</v>
      </c>
      <c r="J46" s="129">
        <v>682</v>
      </c>
      <c r="K46" s="129">
        <v>400</v>
      </c>
      <c r="L46" s="135">
        <v>3.1885663909648533E-3</v>
      </c>
      <c r="M46" s="134">
        <v>2.3696682464454977</v>
      </c>
      <c r="N46" s="129">
        <v>660000</v>
      </c>
      <c r="O46" s="129">
        <v>4100000</v>
      </c>
      <c r="Q46" s="97">
        <v>2035</v>
      </c>
      <c r="R46" s="129">
        <v>911706.52324394893</v>
      </c>
      <c r="S46" s="129">
        <v>21895.935173076934</v>
      </c>
      <c r="T46" s="129">
        <v>0</v>
      </c>
      <c r="U46" s="129">
        <v>158122.76017295089</v>
      </c>
      <c r="V46" s="129">
        <v>259342.10526315789</v>
      </c>
      <c r="W46" s="129">
        <v>259342.10526315789</v>
      </c>
      <c r="X46" s="129">
        <v>170.28027067480645</v>
      </c>
      <c r="Y46" s="129">
        <v>1105.6050344347825</v>
      </c>
      <c r="Z46" s="129">
        <v>682</v>
      </c>
      <c r="AA46" s="129">
        <v>400</v>
      </c>
      <c r="AB46" s="135">
        <v>3.1885663909648533E-3</v>
      </c>
      <c r="AC46" s="129">
        <v>2.3696682464454977</v>
      </c>
      <c r="AD46" s="129">
        <v>330000</v>
      </c>
      <c r="AE46" s="129">
        <v>500000</v>
      </c>
      <c r="AG46" s="9"/>
      <c r="AH46" s="11"/>
      <c r="AI46" s="9"/>
      <c r="AJ46" s="9"/>
      <c r="AK46" s="11"/>
      <c r="AP46" s="9"/>
      <c r="AQ46" s="9"/>
      <c r="AW46" s="9"/>
      <c r="AZ46" s="9"/>
      <c r="BA46" s="9"/>
      <c r="BB46" s="9"/>
      <c r="BC46" s="9"/>
      <c r="BF46" s="9"/>
      <c r="BG46" s="9"/>
      <c r="BH46" s="9"/>
      <c r="BI46" s="9"/>
      <c r="BL46" s="9"/>
    </row>
    <row r="47" spans="1:64" x14ac:dyDescent="0.25">
      <c r="A47" s="97">
        <v>2040</v>
      </c>
      <c r="B47" s="129">
        <v>1348521.0707176332</v>
      </c>
      <c r="C47" s="129">
        <v>47135.749686176714</v>
      </c>
      <c r="D47" s="129">
        <v>0</v>
      </c>
      <c r="E47" s="129">
        <v>337979.97291313205</v>
      </c>
      <c r="F47" s="129">
        <v>482184.21052631579</v>
      </c>
      <c r="G47" s="129">
        <v>482184.21052631579</v>
      </c>
      <c r="H47" s="129">
        <v>251.86452775992291</v>
      </c>
      <c r="I47" s="129">
        <v>1774.3449917732401</v>
      </c>
      <c r="J47" s="129">
        <v>682</v>
      </c>
      <c r="K47" s="129">
        <v>400</v>
      </c>
      <c r="L47" s="135">
        <v>3.1885663909648533E-3</v>
      </c>
      <c r="M47" s="134">
        <v>2.3696682464454977</v>
      </c>
      <c r="N47" s="129">
        <v>660000</v>
      </c>
      <c r="O47" s="129">
        <v>4100000</v>
      </c>
      <c r="Q47" s="97">
        <v>2040</v>
      </c>
      <c r="R47" s="129">
        <v>758440.57733085053</v>
      </c>
      <c r="S47" s="129">
        <v>18215.034433206318</v>
      </c>
      <c r="T47" s="129">
        <v>0</v>
      </c>
      <c r="U47" s="129">
        <v>131540.9229364823</v>
      </c>
      <c r="V47" s="129">
        <v>259342.10526315789</v>
      </c>
      <c r="W47" s="129">
        <v>259342.10526315789</v>
      </c>
      <c r="X47" s="129">
        <v>141.65464818561702</v>
      </c>
      <c r="Y47" s="129">
        <v>1105.6050344347825</v>
      </c>
      <c r="Z47" s="129">
        <v>682</v>
      </c>
      <c r="AA47" s="129">
        <v>400</v>
      </c>
      <c r="AB47" s="135">
        <v>3.1885663909648533E-3</v>
      </c>
      <c r="AC47" s="129">
        <v>2.3696682464454977</v>
      </c>
      <c r="AD47" s="129">
        <v>330000</v>
      </c>
      <c r="AE47" s="129">
        <v>500000</v>
      </c>
      <c r="AG47" s="9"/>
      <c r="AH47" s="11"/>
      <c r="AI47" s="9"/>
      <c r="AJ47" s="9"/>
      <c r="AK47" s="11"/>
      <c r="AP47" s="9"/>
      <c r="AQ47" s="9"/>
      <c r="AW47" s="9"/>
      <c r="AZ47" s="9"/>
      <c r="BA47" s="9"/>
      <c r="BB47" s="9"/>
      <c r="BC47" s="9"/>
      <c r="BF47" s="9"/>
      <c r="BG47" s="9"/>
      <c r="BH47" s="9"/>
      <c r="BI47" s="9"/>
      <c r="BL47" s="9"/>
    </row>
    <row r="48" spans="1:64" x14ac:dyDescent="0.25">
      <c r="A48" s="97">
        <v>2045</v>
      </c>
      <c r="B48" s="129">
        <v>1247774.3118782307</v>
      </c>
      <c r="C48" s="129">
        <v>43614.28153157045</v>
      </c>
      <c r="D48" s="129">
        <v>0</v>
      </c>
      <c r="E48" s="129">
        <v>312729.80251311988</v>
      </c>
      <c r="F48" s="129">
        <v>482184.21052631579</v>
      </c>
      <c r="G48" s="129">
        <v>482184.21052631579</v>
      </c>
      <c r="H48" s="129">
        <v>233.04796242073567</v>
      </c>
      <c r="I48" s="129">
        <v>1774.3449917732401</v>
      </c>
      <c r="J48" s="129">
        <v>682</v>
      </c>
      <c r="K48" s="129">
        <v>400</v>
      </c>
      <c r="L48" s="135">
        <v>3.1885663909648533E-3</v>
      </c>
      <c r="M48" s="134">
        <v>2.3696682464454977</v>
      </c>
      <c r="N48" s="129">
        <v>660000</v>
      </c>
      <c r="O48" s="129">
        <v>4100000</v>
      </c>
      <c r="Q48" s="97">
        <v>2045</v>
      </c>
      <c r="R48" s="129">
        <v>642340.30835683027</v>
      </c>
      <c r="S48" s="129">
        <v>15426.72054247447</v>
      </c>
      <c r="T48" s="129">
        <v>0</v>
      </c>
      <c r="U48" s="129">
        <v>111404.95317104281</v>
      </c>
      <c r="V48" s="129">
        <v>259342.10526315789</v>
      </c>
      <c r="W48" s="129">
        <v>259342.10526315789</v>
      </c>
      <c r="X48" s="129">
        <v>119.97049355659036</v>
      </c>
      <c r="Y48" s="129">
        <v>1105.6050344347825</v>
      </c>
      <c r="Z48" s="129">
        <v>682</v>
      </c>
      <c r="AA48" s="129">
        <v>400</v>
      </c>
      <c r="AB48" s="135">
        <v>3.1885663909648533E-3</v>
      </c>
      <c r="AC48" s="129">
        <v>2.3696682464454977</v>
      </c>
      <c r="AD48" s="129">
        <v>330000</v>
      </c>
      <c r="AE48" s="129">
        <v>500000</v>
      </c>
      <c r="AG48" s="9"/>
      <c r="AH48" s="11"/>
      <c r="AI48" s="9"/>
      <c r="AJ48" s="9"/>
      <c r="AK48" s="11"/>
      <c r="AP48" s="9"/>
      <c r="AQ48" s="9"/>
      <c r="AW48" s="9"/>
      <c r="AZ48" s="9"/>
      <c r="BA48" s="9"/>
      <c r="BB48" s="9"/>
      <c r="BC48" s="9"/>
      <c r="BF48" s="9"/>
      <c r="BG48" s="9"/>
      <c r="BH48" s="9"/>
      <c r="BI48" s="9"/>
      <c r="BL48" s="9"/>
    </row>
    <row r="49" spans="1:64" x14ac:dyDescent="0.25">
      <c r="A49" s="97">
        <v>2050</v>
      </c>
      <c r="B49" s="129">
        <v>1134835.8648243654</v>
      </c>
      <c r="C49" s="129">
        <v>39666.669228083359</v>
      </c>
      <c r="D49" s="129">
        <v>0</v>
      </c>
      <c r="E49" s="129">
        <v>284424.02805769857</v>
      </c>
      <c r="F49" s="129">
        <v>482184.21052631579</v>
      </c>
      <c r="G49" s="129">
        <v>482184.21052631579</v>
      </c>
      <c r="H49" s="129">
        <v>211.95434419642177</v>
      </c>
      <c r="I49" s="129">
        <v>1774.3449917732401</v>
      </c>
      <c r="J49" s="129">
        <v>682</v>
      </c>
      <c r="K49" s="129">
        <v>400</v>
      </c>
      <c r="L49" s="135">
        <v>3.1885663909648533E-3</v>
      </c>
      <c r="M49" s="134">
        <v>2.3696682464454977</v>
      </c>
      <c r="N49" s="129">
        <v>660000</v>
      </c>
      <c r="O49" s="129">
        <v>4100000</v>
      </c>
      <c r="Q49" s="97">
        <v>2050</v>
      </c>
      <c r="R49" s="129">
        <v>563596.6560123543</v>
      </c>
      <c r="S49" s="129">
        <v>13535.579190440278</v>
      </c>
      <c r="T49" s="129">
        <v>0</v>
      </c>
      <c r="U49" s="129">
        <v>97747.966698570046</v>
      </c>
      <c r="V49" s="129">
        <v>259342.10526315789</v>
      </c>
      <c r="W49" s="129">
        <v>259342.10526315789</v>
      </c>
      <c r="X49" s="129">
        <v>105.26346877033424</v>
      </c>
      <c r="Y49" s="129">
        <v>1105.6050344347825</v>
      </c>
      <c r="Z49" s="129">
        <v>682</v>
      </c>
      <c r="AA49" s="129">
        <v>400</v>
      </c>
      <c r="AB49" s="135">
        <v>3.1885663909648533E-3</v>
      </c>
      <c r="AC49" s="129">
        <v>2.3696682464454977</v>
      </c>
      <c r="AD49" s="129">
        <v>330000</v>
      </c>
      <c r="AE49" s="129">
        <v>500000</v>
      </c>
      <c r="AG49" s="9"/>
      <c r="AH49" s="11"/>
      <c r="AI49" s="9"/>
      <c r="AJ49" s="9"/>
      <c r="AK49" s="11"/>
      <c r="AP49" s="9"/>
      <c r="AQ49" s="9"/>
      <c r="AW49" s="9"/>
      <c r="AZ49" s="9"/>
      <c r="BA49" s="9"/>
      <c r="BB49" s="9"/>
      <c r="BC49" s="9"/>
      <c r="BF49" s="9"/>
      <c r="BG49" s="9"/>
      <c r="BH49" s="9"/>
      <c r="BI49" s="9"/>
      <c r="BL49" s="9"/>
    </row>
    <row r="50" spans="1:64" x14ac:dyDescent="0.25">
      <c r="K50" s="54"/>
      <c r="O50" s="54"/>
      <c r="AA50" s="54"/>
      <c r="AE50" s="54"/>
    </row>
    <row r="51" spans="1:64" ht="17" thickBot="1" x14ac:dyDescent="0.4">
      <c r="B51" s="120" t="s">
        <v>326</v>
      </c>
      <c r="C51" s="120"/>
      <c r="D51" s="120"/>
      <c r="E51" s="120"/>
      <c r="Q51" s="8" t="s">
        <v>326</v>
      </c>
      <c r="R51" s="120"/>
      <c r="S51" s="120"/>
      <c r="T51" s="120"/>
      <c r="U51" s="120"/>
    </row>
    <row r="53" spans="1:64" ht="13" x14ac:dyDescent="0.25">
      <c r="A53" s="92"/>
      <c r="B53" s="92" t="s">
        <v>40</v>
      </c>
      <c r="C53" s="92" t="s">
        <v>289</v>
      </c>
      <c r="D53" s="92" t="s">
        <v>290</v>
      </c>
      <c r="E53" s="92" t="s">
        <v>291</v>
      </c>
      <c r="F53" s="166" t="s">
        <v>637</v>
      </c>
      <c r="Q53" s="92"/>
      <c r="R53" s="92" t="s">
        <v>40</v>
      </c>
      <c r="S53" s="92" t="s">
        <v>289</v>
      </c>
      <c r="T53" s="92" t="s">
        <v>290</v>
      </c>
      <c r="U53" s="92" t="s">
        <v>291</v>
      </c>
    </row>
    <row r="54" spans="1:64" x14ac:dyDescent="0.25">
      <c r="A54" s="126" t="s">
        <v>293</v>
      </c>
      <c r="B54" s="126" t="s">
        <v>277</v>
      </c>
      <c r="C54" s="126" t="s">
        <v>277</v>
      </c>
      <c r="D54" s="126" t="s">
        <v>277</v>
      </c>
      <c r="E54" s="126" t="s">
        <v>277</v>
      </c>
      <c r="F54" s="167" t="s">
        <v>277</v>
      </c>
      <c r="Q54" s="126" t="s">
        <v>293</v>
      </c>
      <c r="R54" s="126" t="s">
        <v>278</v>
      </c>
      <c r="S54" s="126" t="s">
        <v>278</v>
      </c>
      <c r="T54" s="126" t="s">
        <v>278</v>
      </c>
      <c r="U54" s="126" t="s">
        <v>278</v>
      </c>
    </row>
    <row r="55" spans="1:64" x14ac:dyDescent="0.25">
      <c r="A55" s="97">
        <v>2019</v>
      </c>
      <c r="B55" s="129">
        <v>1130</v>
      </c>
      <c r="C55" s="129">
        <v>1700</v>
      </c>
      <c r="D55" s="129">
        <v>9700</v>
      </c>
      <c r="E55" s="129">
        <v>9700</v>
      </c>
      <c r="F55" s="281" t="s">
        <v>729</v>
      </c>
      <c r="Q55" s="97">
        <v>2019</v>
      </c>
      <c r="R55" s="129">
        <v>1130</v>
      </c>
      <c r="S55" s="129">
        <v>1700</v>
      </c>
      <c r="T55" s="129">
        <v>9700</v>
      </c>
      <c r="U55" s="129">
        <v>9700</v>
      </c>
    </row>
    <row r="56" spans="1:64" x14ac:dyDescent="0.25">
      <c r="A56" s="97">
        <v>2020</v>
      </c>
      <c r="B56" s="129">
        <v>1126.7479743748725</v>
      </c>
      <c r="C56" s="129">
        <v>1692.6906592969833</v>
      </c>
      <c r="D56" s="129">
        <v>9500.9064202100217</v>
      </c>
      <c r="E56" s="129">
        <v>9500.9064202100217</v>
      </c>
      <c r="F56" s="281" t="s">
        <v>729</v>
      </c>
      <c r="Q56" s="97">
        <v>2020</v>
      </c>
      <c r="R56" s="129">
        <v>1123.8051326766836</v>
      </c>
      <c r="S56" s="129">
        <v>1686.0852439044957</v>
      </c>
      <c r="T56" s="129">
        <v>9323.7842978531789</v>
      </c>
      <c r="U56" s="129">
        <v>9323.7842978531789</v>
      </c>
    </row>
    <row r="57" spans="1:64" x14ac:dyDescent="0.25">
      <c r="A57" s="97">
        <v>2025</v>
      </c>
      <c r="B57" s="129">
        <v>1086.0486560891238</v>
      </c>
      <c r="C57" s="129">
        <v>1633.8785091606289</v>
      </c>
      <c r="D57" s="129">
        <v>5877.3330185758732</v>
      </c>
      <c r="E57" s="129">
        <v>5877.3330185758732</v>
      </c>
      <c r="F57" s="281" t="s">
        <v>729</v>
      </c>
      <c r="Q57" s="97">
        <v>2025</v>
      </c>
      <c r="R57" s="129">
        <v>697.30416574784726</v>
      </c>
      <c r="S57" s="129">
        <v>1049.0416652843721</v>
      </c>
      <c r="T57" s="129">
        <v>551.64442873063194</v>
      </c>
      <c r="U57" s="129">
        <v>551.64442873063194</v>
      </c>
    </row>
    <row r="58" spans="1:64" x14ac:dyDescent="0.25">
      <c r="A58" s="97">
        <v>2030</v>
      </c>
      <c r="B58" s="129">
        <v>971.8</v>
      </c>
      <c r="C58" s="129">
        <v>1462</v>
      </c>
      <c r="D58" s="129">
        <v>2508.990274069527</v>
      </c>
      <c r="E58" s="129">
        <v>2508.990274069527</v>
      </c>
      <c r="F58" s="281" t="s">
        <v>729</v>
      </c>
      <c r="Q58" s="97">
        <v>2030</v>
      </c>
      <c r="R58" s="129">
        <v>525.1641614170627</v>
      </c>
      <c r="S58" s="129">
        <v>790.06997735310324</v>
      </c>
      <c r="T58" s="129">
        <v>191</v>
      </c>
      <c r="U58" s="129">
        <v>191</v>
      </c>
    </row>
    <row r="59" spans="1:64" x14ac:dyDescent="0.25">
      <c r="A59" s="97">
        <v>2035</v>
      </c>
      <c r="B59" s="129">
        <v>894.09692648326825</v>
      </c>
      <c r="C59" s="129">
        <v>1358.7863131412118</v>
      </c>
      <c r="D59" s="129">
        <v>1595.8583177635669</v>
      </c>
      <c r="E59" s="129">
        <v>1595.8583177635669</v>
      </c>
      <c r="F59" s="282" t="s">
        <v>729</v>
      </c>
      <c r="Q59" s="97">
        <v>2035</v>
      </c>
      <c r="R59" s="129">
        <v>331.48227492920148</v>
      </c>
      <c r="S59" s="129">
        <v>498.6901481235775</v>
      </c>
      <c r="T59" s="129">
        <v>191</v>
      </c>
      <c r="U59" s="129">
        <v>191</v>
      </c>
    </row>
    <row r="60" spans="1:64" x14ac:dyDescent="0.25">
      <c r="A60" s="97">
        <v>2040</v>
      </c>
      <c r="B60" s="129">
        <v>772.77939573497895</v>
      </c>
      <c r="C60" s="129">
        <v>1159.6676136815554</v>
      </c>
      <c r="D60" s="129">
        <v>1150.431814230124</v>
      </c>
      <c r="E60" s="129">
        <v>1150.431814230124</v>
      </c>
      <c r="F60" s="281" t="s">
        <v>729</v>
      </c>
      <c r="Q60" s="97">
        <v>2040</v>
      </c>
      <c r="R60" s="129">
        <v>233.34248998732437</v>
      </c>
      <c r="S60" s="129">
        <v>351.04622387473574</v>
      </c>
      <c r="T60" s="129">
        <v>191</v>
      </c>
      <c r="U60" s="129">
        <v>191</v>
      </c>
    </row>
    <row r="61" spans="1:64" x14ac:dyDescent="0.25">
      <c r="A61" s="97">
        <v>2045</v>
      </c>
      <c r="B61" s="129">
        <v>690.78776399742367</v>
      </c>
      <c r="C61" s="129">
        <v>1039.2382290226728</v>
      </c>
      <c r="D61" s="129">
        <v>1029.4102670268294</v>
      </c>
      <c r="E61" s="129">
        <v>1029.4102670268294</v>
      </c>
      <c r="F61" s="281" t="s">
        <v>729</v>
      </c>
      <c r="Q61" s="97">
        <v>2045</v>
      </c>
      <c r="R61" s="129">
        <v>169.96580206350197</v>
      </c>
      <c r="S61" s="129">
        <v>255.7007641663304</v>
      </c>
      <c r="T61" s="129">
        <v>191</v>
      </c>
      <c r="U61" s="129">
        <v>191</v>
      </c>
    </row>
    <row r="62" spans="1:64" x14ac:dyDescent="0.25">
      <c r="A62" s="97">
        <v>2050</v>
      </c>
      <c r="B62" s="129">
        <v>603.45444960765803</v>
      </c>
      <c r="C62" s="129">
        <v>906.38430277124326</v>
      </c>
      <c r="D62" s="129">
        <v>898.68333329915947</v>
      </c>
      <c r="E62" s="129">
        <v>898.68333329915947</v>
      </c>
      <c r="F62" s="281" t="s">
        <v>729</v>
      </c>
      <c r="Q62" s="97">
        <v>2050</v>
      </c>
      <c r="R62" s="129">
        <v>132.44222057446891</v>
      </c>
      <c r="S62" s="129">
        <v>199.24935838636907</v>
      </c>
      <c r="T62" s="129">
        <v>191</v>
      </c>
      <c r="U62" s="129">
        <v>191</v>
      </c>
    </row>
    <row r="64" spans="1:64" ht="17" thickBot="1" x14ac:dyDescent="0.4">
      <c r="B64" s="120" t="s">
        <v>327</v>
      </c>
      <c r="C64" s="120"/>
      <c r="D64" s="120"/>
      <c r="E64" s="120"/>
      <c r="F64" s="120"/>
      <c r="G64" s="120"/>
      <c r="H64" s="120"/>
      <c r="I64" s="120"/>
      <c r="J64" s="120"/>
      <c r="K64" s="120"/>
      <c r="L64" s="120"/>
      <c r="M64" s="120"/>
      <c r="N64" s="120"/>
      <c r="O64" s="120"/>
      <c r="R64" s="120"/>
      <c r="S64" s="120"/>
      <c r="T64" s="120"/>
      <c r="U64" s="120"/>
      <c r="V64" s="120"/>
      <c r="W64" s="120"/>
      <c r="X64" s="120"/>
      <c r="Y64" s="120"/>
      <c r="Z64" s="120"/>
      <c r="AA64" s="120"/>
      <c r="AB64" s="120"/>
      <c r="AC64" s="120"/>
      <c r="AD64" s="120"/>
      <c r="AE64" s="120"/>
    </row>
    <row r="66" spans="1:31" ht="13" x14ac:dyDescent="0.25">
      <c r="A66" s="92"/>
      <c r="B66" s="92" t="s">
        <v>40</v>
      </c>
      <c r="C66" s="92" t="s">
        <v>289</v>
      </c>
      <c r="D66" s="92" t="s">
        <v>290</v>
      </c>
      <c r="E66" s="92" t="s">
        <v>291</v>
      </c>
      <c r="F66" s="92" t="s">
        <v>47</v>
      </c>
      <c r="G66" s="92" t="s">
        <v>37</v>
      </c>
      <c r="H66" s="92" t="s">
        <v>320</v>
      </c>
      <c r="I66" s="166" t="s">
        <v>637</v>
      </c>
      <c r="Q66" s="92"/>
      <c r="R66" s="92" t="s">
        <v>40</v>
      </c>
      <c r="S66" s="92" t="s">
        <v>289</v>
      </c>
      <c r="T66" s="92" t="s">
        <v>290</v>
      </c>
      <c r="U66" s="92" t="s">
        <v>291</v>
      </c>
      <c r="V66" s="92" t="s">
        <v>47</v>
      </c>
      <c r="W66" s="92" t="s">
        <v>37</v>
      </c>
      <c r="X66" s="92" t="s">
        <v>320</v>
      </c>
    </row>
    <row r="67" spans="1:31" x14ac:dyDescent="0.25">
      <c r="A67" s="126"/>
      <c r="B67" s="126" t="s">
        <v>277</v>
      </c>
      <c r="C67" s="126" t="s">
        <v>277</v>
      </c>
      <c r="D67" s="126" t="s">
        <v>277</v>
      </c>
      <c r="E67" s="126" t="s">
        <v>277</v>
      </c>
      <c r="F67" s="126" t="s">
        <v>277</v>
      </c>
      <c r="G67" s="126" t="s">
        <v>277</v>
      </c>
      <c r="H67" s="126" t="s">
        <v>277</v>
      </c>
      <c r="I67" s="167" t="s">
        <v>277</v>
      </c>
      <c r="Q67" s="126"/>
      <c r="R67" s="126" t="s">
        <v>278</v>
      </c>
      <c r="S67" s="126" t="s">
        <v>278</v>
      </c>
      <c r="T67" s="126" t="s">
        <v>278</v>
      </c>
      <c r="U67" s="126" t="s">
        <v>278</v>
      </c>
      <c r="V67" s="126" t="s">
        <v>278</v>
      </c>
      <c r="W67" s="126" t="s">
        <v>278</v>
      </c>
      <c r="X67" s="126" t="s">
        <v>278</v>
      </c>
    </row>
    <row r="68" spans="1:31" x14ac:dyDescent="0.25">
      <c r="A68" s="97" t="s">
        <v>328</v>
      </c>
      <c r="B68" s="93">
        <v>10</v>
      </c>
      <c r="C68" s="93">
        <v>10</v>
      </c>
      <c r="D68" s="93">
        <v>10</v>
      </c>
      <c r="E68" s="93">
        <v>10</v>
      </c>
      <c r="F68" s="93">
        <v>14.516129032258066</v>
      </c>
      <c r="G68" s="93">
        <v>0</v>
      </c>
      <c r="H68" s="93">
        <v>0</v>
      </c>
      <c r="I68" s="280" t="s">
        <v>729</v>
      </c>
      <c r="Q68" s="97"/>
      <c r="R68" s="93">
        <v>10</v>
      </c>
      <c r="S68" s="93">
        <v>10</v>
      </c>
      <c r="T68" s="93">
        <v>10</v>
      </c>
      <c r="U68" s="93">
        <v>10</v>
      </c>
      <c r="V68" s="93">
        <v>12.340425531914892</v>
      </c>
      <c r="W68" s="93">
        <v>0</v>
      </c>
      <c r="X68" s="93">
        <v>0</v>
      </c>
    </row>
    <row r="69" spans="1:31" x14ac:dyDescent="0.25">
      <c r="A69" s="97" t="s">
        <v>329</v>
      </c>
      <c r="B69" s="93">
        <v>0</v>
      </c>
      <c r="C69" s="93">
        <v>0</v>
      </c>
      <c r="D69" s="93">
        <v>0</v>
      </c>
      <c r="E69" s="93">
        <v>0</v>
      </c>
      <c r="F69" s="93">
        <v>0</v>
      </c>
      <c r="G69" s="93">
        <v>0</v>
      </c>
      <c r="H69" s="93">
        <v>120.28695652173911</v>
      </c>
      <c r="I69" s="280" t="s">
        <v>729</v>
      </c>
      <c r="Q69" s="97"/>
      <c r="R69" s="93">
        <v>0</v>
      </c>
      <c r="S69" s="93">
        <v>0</v>
      </c>
      <c r="T69" s="93">
        <v>0</v>
      </c>
      <c r="U69" s="93">
        <v>0</v>
      </c>
      <c r="V69" s="93">
        <v>0</v>
      </c>
      <c r="W69" s="93">
        <v>0</v>
      </c>
      <c r="X69" s="93">
        <v>120.28695652173911</v>
      </c>
    </row>
    <row r="72" spans="1:31" ht="13" x14ac:dyDescent="0.25">
      <c r="A72" s="92" t="s">
        <v>330</v>
      </c>
      <c r="B72" s="92"/>
      <c r="C72" s="92"/>
      <c r="D72" s="92"/>
      <c r="E72" s="92"/>
      <c r="F72" s="92" t="s">
        <v>331</v>
      </c>
      <c r="G72" s="92"/>
      <c r="H72" s="92"/>
      <c r="Q72" s="92" t="s">
        <v>330</v>
      </c>
      <c r="R72" s="92"/>
      <c r="S72" s="92"/>
      <c r="T72" s="92"/>
      <c r="U72" s="92"/>
      <c r="V72" s="92" t="s">
        <v>331</v>
      </c>
      <c r="W72" s="92"/>
      <c r="X72" s="92"/>
    </row>
    <row r="73" spans="1:31" x14ac:dyDescent="0.25">
      <c r="A73" s="97" t="s">
        <v>332</v>
      </c>
      <c r="B73" s="97" t="s">
        <v>333</v>
      </c>
      <c r="C73" s="97" t="s">
        <v>334</v>
      </c>
      <c r="D73" s="97" t="s">
        <v>335</v>
      </c>
      <c r="E73" s="97" t="s">
        <v>336</v>
      </c>
      <c r="F73" s="97" t="s">
        <v>337</v>
      </c>
      <c r="G73" s="97" t="s">
        <v>338</v>
      </c>
      <c r="H73" s="97" t="s">
        <v>339</v>
      </c>
      <c r="Q73" s="97" t="s">
        <v>332</v>
      </c>
      <c r="R73" s="97" t="s">
        <v>333</v>
      </c>
      <c r="S73" s="97" t="s">
        <v>334</v>
      </c>
      <c r="T73" s="97" t="s">
        <v>335</v>
      </c>
      <c r="U73" s="97" t="s">
        <v>336</v>
      </c>
      <c r="V73" s="97" t="s">
        <v>337</v>
      </c>
      <c r="W73" s="97" t="s">
        <v>338</v>
      </c>
      <c r="X73" s="97" t="s">
        <v>339</v>
      </c>
    </row>
    <row r="74" spans="1:31" x14ac:dyDescent="0.25">
      <c r="A74" s="126" t="s">
        <v>277</v>
      </c>
      <c r="B74" s="126" t="s">
        <v>277</v>
      </c>
      <c r="C74" s="126" t="s">
        <v>277</v>
      </c>
      <c r="D74" s="126" t="s">
        <v>277</v>
      </c>
      <c r="E74" s="126" t="s">
        <v>277</v>
      </c>
      <c r="F74" s="126" t="s">
        <v>277</v>
      </c>
      <c r="G74" s="126" t="s">
        <v>277</v>
      </c>
      <c r="H74" s="126" t="s">
        <v>277</v>
      </c>
      <c r="Q74" s="126" t="s">
        <v>278</v>
      </c>
      <c r="R74" s="126" t="s">
        <v>278</v>
      </c>
      <c r="S74" s="126" t="s">
        <v>278</v>
      </c>
      <c r="T74" s="126" t="s">
        <v>278</v>
      </c>
      <c r="U74" s="126" t="s">
        <v>278</v>
      </c>
      <c r="V74" s="126" t="s">
        <v>278</v>
      </c>
      <c r="W74" s="126" t="s">
        <v>278</v>
      </c>
      <c r="X74" s="126" t="s">
        <v>278</v>
      </c>
    </row>
    <row r="75" spans="1:31" x14ac:dyDescent="0.25">
      <c r="A75" s="131">
        <v>0.79039999999999999</v>
      </c>
      <c r="B75" s="131">
        <v>0.89824871710338139</v>
      </c>
      <c r="C75" s="131">
        <v>1</v>
      </c>
      <c r="D75" s="131">
        <v>0.94399999999999995</v>
      </c>
      <c r="E75" s="131">
        <v>0.67</v>
      </c>
      <c r="F75" s="129">
        <v>1080</v>
      </c>
      <c r="G75" s="129">
        <v>1789.4736842105265</v>
      </c>
      <c r="H75" s="129">
        <v>11263.157894736843</v>
      </c>
      <c r="Q75" s="131">
        <v>0.79</v>
      </c>
      <c r="R75" s="131">
        <v>0.89824871710338139</v>
      </c>
      <c r="S75" s="131">
        <v>1</v>
      </c>
      <c r="T75" s="131">
        <v>0.94399999999999995</v>
      </c>
      <c r="U75" s="131">
        <v>0.67</v>
      </c>
      <c r="V75" s="129">
        <v>1080</v>
      </c>
      <c r="W75" s="129">
        <v>795.78947368421052</v>
      </c>
      <c r="X75" s="129">
        <v>8109.4736842105276</v>
      </c>
    </row>
    <row r="76" spans="1:31" x14ac:dyDescent="0.25">
      <c r="C76" s="30"/>
      <c r="D76" s="30"/>
      <c r="E76" s="12"/>
      <c r="F76" s="12"/>
      <c r="S76" s="30"/>
      <c r="T76" s="30"/>
      <c r="U76" s="12"/>
      <c r="V76" s="12"/>
    </row>
    <row r="78" spans="1:31" ht="17" thickBot="1" x14ac:dyDescent="0.4">
      <c r="B78" s="120" t="s">
        <v>340</v>
      </c>
      <c r="C78" s="120"/>
      <c r="D78" s="120"/>
      <c r="E78" s="120"/>
      <c r="F78" s="120"/>
      <c r="G78" s="120"/>
      <c r="H78" s="120"/>
      <c r="I78" s="120"/>
      <c r="J78" s="120"/>
      <c r="K78" s="120"/>
      <c r="L78" s="120"/>
      <c r="M78" s="120"/>
      <c r="N78" s="120"/>
      <c r="O78" s="120"/>
      <c r="Q78" s="8" t="s">
        <v>340</v>
      </c>
      <c r="R78" s="120"/>
      <c r="S78" s="120"/>
      <c r="T78" s="120"/>
      <c r="U78" s="120"/>
      <c r="V78" s="120"/>
      <c r="W78" s="120"/>
      <c r="X78" s="120"/>
      <c r="Y78" s="120"/>
      <c r="Z78" s="120"/>
      <c r="AA78" s="120"/>
      <c r="AB78" s="120"/>
      <c r="AC78" s="120"/>
      <c r="AD78" s="120"/>
      <c r="AE78" s="120"/>
    </row>
    <row r="80" spans="1:31" ht="13" x14ac:dyDescent="0.25">
      <c r="A80" s="92"/>
      <c r="B80" s="92" t="s">
        <v>40</v>
      </c>
      <c r="C80" s="92" t="s">
        <v>289</v>
      </c>
      <c r="D80" s="92" t="s">
        <v>290</v>
      </c>
      <c r="E80" s="92" t="s">
        <v>291</v>
      </c>
      <c r="F80" s="92" t="s">
        <v>341</v>
      </c>
      <c r="G80" s="166" t="s">
        <v>637</v>
      </c>
      <c r="Q80" s="92"/>
      <c r="R80" s="92" t="s">
        <v>40</v>
      </c>
      <c r="S80" s="92" t="s">
        <v>289</v>
      </c>
      <c r="T80" s="92" t="s">
        <v>290</v>
      </c>
      <c r="U80" s="92" t="s">
        <v>291</v>
      </c>
      <c r="V80" s="92" t="s">
        <v>341</v>
      </c>
    </row>
    <row r="81" spans="1:22" x14ac:dyDescent="0.25">
      <c r="A81" s="126" t="s">
        <v>293</v>
      </c>
      <c r="B81" s="126" t="s">
        <v>277</v>
      </c>
      <c r="C81" s="126" t="s">
        <v>277</v>
      </c>
      <c r="D81" s="126" t="s">
        <v>277</v>
      </c>
      <c r="E81" s="126" t="s">
        <v>277</v>
      </c>
      <c r="F81" s="126" t="s">
        <v>277</v>
      </c>
      <c r="G81" s="167" t="s">
        <v>277</v>
      </c>
      <c r="Q81" s="126" t="s">
        <v>293</v>
      </c>
      <c r="R81" s="126" t="s">
        <v>278</v>
      </c>
      <c r="S81" s="126" t="s">
        <v>278</v>
      </c>
      <c r="T81" s="126" t="s">
        <v>278</v>
      </c>
      <c r="U81" s="126" t="s">
        <v>278</v>
      </c>
      <c r="V81" s="126" t="s">
        <v>278</v>
      </c>
    </row>
    <row r="82" spans="1:22" x14ac:dyDescent="0.25">
      <c r="A82" s="97">
        <v>2019</v>
      </c>
      <c r="B82" s="118">
        <v>0.7</v>
      </c>
      <c r="C82" s="118">
        <v>0.66</v>
      </c>
      <c r="D82" s="118">
        <v>0.75</v>
      </c>
      <c r="E82" s="118">
        <v>0.7</v>
      </c>
      <c r="F82" s="118">
        <v>7.1428571428571397E-2</v>
      </c>
      <c r="G82" s="279" t="s">
        <v>729</v>
      </c>
      <c r="Q82" s="97">
        <v>2019</v>
      </c>
      <c r="R82" s="131">
        <v>0.7</v>
      </c>
      <c r="S82" s="131">
        <v>0.66</v>
      </c>
      <c r="T82" s="131">
        <v>0.75</v>
      </c>
      <c r="U82" s="131">
        <v>0.73</v>
      </c>
      <c r="V82" s="131">
        <v>2.7397260273972712E-2</v>
      </c>
    </row>
    <row r="83" spans="1:22" x14ac:dyDescent="0.25">
      <c r="A83" s="97">
        <v>2020</v>
      </c>
      <c r="B83" s="118">
        <v>0.7</v>
      </c>
      <c r="C83" s="118">
        <v>0.66</v>
      </c>
      <c r="D83" s="118">
        <v>0.75</v>
      </c>
      <c r="E83" s="118">
        <v>0.7</v>
      </c>
      <c r="F83" s="118">
        <v>7.1428571428571397E-2</v>
      </c>
      <c r="G83" s="279" t="s">
        <v>729</v>
      </c>
      <c r="Q83" s="97">
        <v>2020</v>
      </c>
      <c r="R83" s="131">
        <v>0.7</v>
      </c>
      <c r="S83" s="131">
        <v>0.66</v>
      </c>
      <c r="T83" s="131">
        <v>0.75</v>
      </c>
      <c r="U83" s="131">
        <v>0.73</v>
      </c>
      <c r="V83" s="131">
        <v>2.7397260273972712E-2</v>
      </c>
    </row>
    <row r="84" spans="1:22" x14ac:dyDescent="0.25">
      <c r="A84" s="97">
        <v>2025</v>
      </c>
      <c r="B84" s="118">
        <v>0.7</v>
      </c>
      <c r="C84" s="118">
        <v>0.67</v>
      </c>
      <c r="D84" s="118">
        <v>0.76</v>
      </c>
      <c r="E84" s="118">
        <v>0.7</v>
      </c>
      <c r="F84" s="118">
        <v>8.5714285714285854E-2</v>
      </c>
      <c r="G84" s="279" t="s">
        <v>729</v>
      </c>
      <c r="Q84" s="97">
        <v>2025</v>
      </c>
      <c r="R84" s="131">
        <v>0.71</v>
      </c>
      <c r="S84" s="131">
        <v>0.67</v>
      </c>
      <c r="T84" s="131">
        <v>0.76</v>
      </c>
      <c r="U84" s="131">
        <v>0.74</v>
      </c>
      <c r="V84" s="131">
        <v>2.7027027027026973E-2</v>
      </c>
    </row>
    <row r="85" spans="1:22" x14ac:dyDescent="0.25">
      <c r="A85" s="97">
        <v>2030</v>
      </c>
      <c r="B85" s="118">
        <v>0.7</v>
      </c>
      <c r="C85" s="118">
        <v>0.7</v>
      </c>
      <c r="D85" s="118">
        <v>0.78</v>
      </c>
      <c r="E85" s="118">
        <v>0.72</v>
      </c>
      <c r="F85" s="118">
        <v>8.3333333333333481E-2</v>
      </c>
      <c r="G85" s="279" t="s">
        <v>729</v>
      </c>
      <c r="Q85" s="97">
        <v>2030</v>
      </c>
      <c r="R85" s="131">
        <v>0.72</v>
      </c>
      <c r="S85" s="131">
        <v>0.7</v>
      </c>
      <c r="T85" s="131">
        <v>0.78</v>
      </c>
      <c r="U85" s="131">
        <v>0.75</v>
      </c>
      <c r="V85" s="131">
        <v>4.0000000000000036E-2</v>
      </c>
    </row>
    <row r="86" spans="1:22" x14ac:dyDescent="0.25">
      <c r="A86" s="97">
        <v>2035</v>
      </c>
      <c r="B86" s="118">
        <v>0.72</v>
      </c>
      <c r="C86" s="118">
        <v>0.72</v>
      </c>
      <c r="D86" s="118">
        <v>0.81</v>
      </c>
      <c r="E86" s="118">
        <v>0.74</v>
      </c>
      <c r="F86" s="118">
        <v>9.4594594594594739E-2</v>
      </c>
      <c r="G86" s="279" t="s">
        <v>729</v>
      </c>
      <c r="Q86" s="97">
        <v>2035</v>
      </c>
      <c r="R86" s="131">
        <v>0.74</v>
      </c>
      <c r="S86" s="131">
        <v>0.72</v>
      </c>
      <c r="T86" s="131">
        <v>0.8</v>
      </c>
      <c r="U86" s="131">
        <v>0.78</v>
      </c>
      <c r="V86" s="131">
        <v>2.5641025641025772E-2</v>
      </c>
    </row>
    <row r="87" spans="1:22" x14ac:dyDescent="0.25">
      <c r="A87" s="97">
        <v>2040</v>
      </c>
      <c r="B87" s="118">
        <v>0.73</v>
      </c>
      <c r="C87" s="118">
        <v>0.73</v>
      </c>
      <c r="D87" s="118">
        <v>0.85</v>
      </c>
      <c r="E87" s="118">
        <v>0.76</v>
      </c>
      <c r="F87" s="118">
        <v>0.11842105263157898</v>
      </c>
      <c r="G87" s="279" t="s">
        <v>729</v>
      </c>
      <c r="Q87" s="97">
        <v>2040</v>
      </c>
      <c r="R87" s="131">
        <v>0.76</v>
      </c>
      <c r="S87" s="131">
        <v>0.74</v>
      </c>
      <c r="T87" s="131">
        <v>0.85</v>
      </c>
      <c r="U87" s="131">
        <v>0.8</v>
      </c>
      <c r="V87" s="131">
        <v>6.25E-2</v>
      </c>
    </row>
    <row r="88" spans="1:22" x14ac:dyDescent="0.25">
      <c r="A88" s="97">
        <v>2045</v>
      </c>
      <c r="B88" s="118">
        <v>0.74</v>
      </c>
      <c r="C88" s="118">
        <v>0.74</v>
      </c>
      <c r="D88" s="118">
        <v>0.88</v>
      </c>
      <c r="E88" s="118">
        <v>0.78</v>
      </c>
      <c r="F88" s="118">
        <v>0.12820512820512819</v>
      </c>
      <c r="G88" s="279" t="s">
        <v>729</v>
      </c>
      <c r="Q88" s="97">
        <v>2045</v>
      </c>
      <c r="R88" s="131">
        <v>0.78</v>
      </c>
      <c r="S88" s="131">
        <v>0.77</v>
      </c>
      <c r="T88" s="131">
        <v>0.88</v>
      </c>
      <c r="U88" s="131">
        <v>0.82</v>
      </c>
      <c r="V88" s="131">
        <v>7.3170731707317138E-2</v>
      </c>
    </row>
    <row r="89" spans="1:22" x14ac:dyDescent="0.25">
      <c r="A89" s="97">
        <v>2050</v>
      </c>
      <c r="B89" s="118">
        <v>0.75</v>
      </c>
      <c r="C89" s="118">
        <v>0.75</v>
      </c>
      <c r="D89" s="118">
        <v>0.92</v>
      </c>
      <c r="E89" s="118">
        <v>0.8</v>
      </c>
      <c r="F89" s="118">
        <v>0.14999999999999991</v>
      </c>
      <c r="G89" s="279" t="s">
        <v>729</v>
      </c>
      <c r="Q89" s="97">
        <v>2050</v>
      </c>
      <c r="R89" s="131">
        <v>0.8</v>
      </c>
      <c r="S89" s="131">
        <v>0.8</v>
      </c>
      <c r="T89" s="131">
        <v>0.93</v>
      </c>
      <c r="U89" s="131">
        <v>0.83</v>
      </c>
      <c r="V89" s="131">
        <v>0.12048192771084354</v>
      </c>
    </row>
    <row r="91" spans="1:22" customFormat="1" x14ac:dyDescent="0.25">
      <c r="A91" s="8"/>
      <c r="B91" s="8"/>
      <c r="C91" s="8"/>
      <c r="D91" s="8"/>
      <c r="E91" s="8"/>
      <c r="F91" s="8"/>
      <c r="G91" s="8"/>
      <c r="H91" s="8"/>
      <c r="I91" s="8"/>
      <c r="J91" s="8"/>
      <c r="K91" s="8"/>
      <c r="L91" s="8"/>
      <c r="M91" s="8"/>
      <c r="N91" s="8"/>
      <c r="O91" s="8"/>
      <c r="P91" s="8"/>
      <c r="Q91" s="8"/>
      <c r="R91" s="8"/>
      <c r="S91" s="8"/>
      <c r="T91" s="8"/>
      <c r="U91" s="8"/>
      <c r="V91" s="8"/>
    </row>
    <row r="92" spans="1:22" customFormat="1" x14ac:dyDescent="0.25">
      <c r="A92" s="8"/>
      <c r="B92" s="8"/>
      <c r="C92" s="8"/>
      <c r="D92" s="8"/>
      <c r="E92" s="8"/>
      <c r="F92" s="8"/>
      <c r="G92" s="8"/>
      <c r="H92" s="8"/>
      <c r="I92" s="8"/>
      <c r="J92" s="8"/>
      <c r="K92" s="8"/>
      <c r="L92" s="8"/>
      <c r="M92" s="8"/>
      <c r="N92" s="8"/>
      <c r="O92" s="8"/>
      <c r="P92" s="8"/>
      <c r="Q92" s="8"/>
      <c r="R92" s="8"/>
      <c r="S92" s="8"/>
      <c r="T92" s="8"/>
      <c r="U92" s="8"/>
      <c r="V92" s="8"/>
    </row>
    <row r="93" spans="1:22" customFormat="1" x14ac:dyDescent="0.25">
      <c r="A93" s="8"/>
      <c r="B93" s="8"/>
      <c r="C93" s="8"/>
      <c r="D93" s="8"/>
      <c r="E93" s="8"/>
      <c r="F93" s="8"/>
      <c r="G93" s="8"/>
      <c r="H93" s="8"/>
      <c r="I93" s="8"/>
      <c r="J93" s="8"/>
      <c r="K93" s="8"/>
      <c r="L93" s="8"/>
      <c r="M93" s="8"/>
      <c r="N93" s="8"/>
      <c r="O93" s="8"/>
      <c r="P93" s="8"/>
      <c r="Q93" s="8"/>
      <c r="R93" s="8"/>
      <c r="S93" s="8"/>
      <c r="T93" s="8"/>
      <c r="U93" s="8"/>
      <c r="V93" s="8"/>
    </row>
    <row r="94" spans="1:22" customFormat="1" x14ac:dyDescent="0.25">
      <c r="A94" s="8"/>
      <c r="B94" s="8"/>
      <c r="C94" s="8"/>
      <c r="D94" s="8"/>
      <c r="E94" s="8"/>
      <c r="F94" s="8"/>
      <c r="G94" s="8"/>
      <c r="H94" s="8"/>
      <c r="I94" s="8"/>
      <c r="J94" s="8"/>
      <c r="K94" s="8"/>
      <c r="L94" s="8"/>
      <c r="M94" s="8"/>
      <c r="N94" s="8"/>
      <c r="O94" s="8"/>
      <c r="P94" s="8"/>
      <c r="Q94" s="8"/>
      <c r="R94" s="8"/>
      <c r="S94" s="8"/>
      <c r="T94" s="8"/>
      <c r="U94" s="8"/>
      <c r="V94" s="8"/>
    </row>
    <row r="95" spans="1:22" customFormat="1" x14ac:dyDescent="0.25">
      <c r="A95" s="8"/>
      <c r="B95" s="8"/>
      <c r="C95" s="8"/>
      <c r="D95" s="8"/>
      <c r="E95" s="8"/>
      <c r="F95" s="8"/>
      <c r="G95" s="8"/>
      <c r="H95" s="8"/>
      <c r="I95" s="8"/>
      <c r="J95" s="8"/>
      <c r="K95" s="8"/>
      <c r="L95" s="8"/>
      <c r="M95" s="8"/>
      <c r="N95" s="8"/>
      <c r="O95" s="8"/>
      <c r="P95" s="8"/>
      <c r="Q95" s="8"/>
      <c r="R95" s="8"/>
      <c r="S95" s="8"/>
      <c r="T95" s="8"/>
      <c r="U95" s="8"/>
      <c r="V95" s="8"/>
    </row>
  </sheetData>
  <mergeCells count="7">
    <mergeCell ref="F1:Z1"/>
    <mergeCell ref="X39:AA39"/>
    <mergeCell ref="R39:W39"/>
    <mergeCell ref="B39:H39"/>
    <mergeCell ref="I39:K39"/>
    <mergeCell ref="L39:M39"/>
    <mergeCell ref="N39:O3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9" tint="0.59999389629810485"/>
  </sheetPr>
  <dimension ref="A1:F90"/>
  <sheetViews>
    <sheetView topLeftCell="A61" workbookViewId="0">
      <selection activeCell="A3" sqref="A3"/>
    </sheetView>
  </sheetViews>
  <sheetFormatPr defaultColWidth="9" defaultRowHeight="11.5" x14ac:dyDescent="0.25"/>
  <cols>
    <col min="1" max="1" width="91" customWidth="1"/>
    <col min="2" max="2" width="28.59765625" customWidth="1"/>
    <col min="3" max="3" width="16.59765625" customWidth="1"/>
    <col min="4" max="4" width="12.59765625" customWidth="1"/>
  </cols>
  <sheetData>
    <row r="1" spans="1:3" ht="14" x14ac:dyDescent="0.25">
      <c r="A1" s="6" t="s">
        <v>342</v>
      </c>
      <c r="B1" s="8"/>
      <c r="C1" s="8"/>
    </row>
    <row r="2" spans="1:3" x14ac:dyDescent="0.25">
      <c r="A2" s="5" t="s">
        <v>343</v>
      </c>
      <c r="B2" s="8"/>
      <c r="C2" s="8"/>
    </row>
    <row r="3" spans="1:3" ht="14" x14ac:dyDescent="0.3">
      <c r="A3" s="38" t="s">
        <v>344</v>
      </c>
      <c r="B3" s="8"/>
      <c r="C3" s="8"/>
    </row>
    <row r="4" spans="1:3" ht="14" x14ac:dyDescent="0.3">
      <c r="A4" s="38" t="s">
        <v>345</v>
      </c>
      <c r="B4" s="8"/>
      <c r="C4" s="8"/>
    </row>
    <row r="5" spans="1:3" ht="14" x14ac:dyDescent="0.3">
      <c r="A5" s="38" t="s">
        <v>346</v>
      </c>
      <c r="B5" s="8"/>
      <c r="C5" s="8"/>
    </row>
    <row r="6" spans="1:3" ht="14" x14ac:dyDescent="0.3">
      <c r="A6" s="38" t="s">
        <v>347</v>
      </c>
      <c r="B6" s="8"/>
      <c r="C6" s="8"/>
    </row>
    <row r="8" spans="1:3" x14ac:dyDescent="0.25">
      <c r="A8" s="8" t="s">
        <v>348</v>
      </c>
      <c r="B8" s="8"/>
      <c r="C8" s="8"/>
    </row>
    <row r="10" spans="1:3" x14ac:dyDescent="0.25">
      <c r="A10" s="8" t="s">
        <v>349</v>
      </c>
      <c r="B10" s="8"/>
      <c r="C10" s="8" t="s">
        <v>350</v>
      </c>
    </row>
    <row r="11" spans="1:3" x14ac:dyDescent="0.25">
      <c r="A11" s="8" t="s">
        <v>351</v>
      </c>
      <c r="B11" s="4">
        <f>1/0.783</f>
        <v>1.277139208173691</v>
      </c>
      <c r="C11" s="8" t="s">
        <v>352</v>
      </c>
    </row>
    <row r="12" spans="1:3" x14ac:dyDescent="0.25">
      <c r="A12" s="8" t="s">
        <v>353</v>
      </c>
      <c r="B12" s="4">
        <f>1/0.937</f>
        <v>1.0672358591248665</v>
      </c>
      <c r="C12" s="8" t="s">
        <v>352</v>
      </c>
    </row>
    <row r="13" spans="1:3" x14ac:dyDescent="0.25">
      <c r="A13" s="8" t="s">
        <v>354</v>
      </c>
      <c r="B13" s="8">
        <v>1.06</v>
      </c>
      <c r="C13" s="8" t="s">
        <v>355</v>
      </c>
    </row>
    <row r="14" spans="1:3" x14ac:dyDescent="0.25">
      <c r="A14" s="8" t="s">
        <v>356</v>
      </c>
      <c r="B14" s="8">
        <v>1.05</v>
      </c>
      <c r="C14" s="8" t="s">
        <v>355</v>
      </c>
    </row>
    <row r="16" spans="1:3" ht="14" x14ac:dyDescent="0.25">
      <c r="A16" s="6" t="s">
        <v>357</v>
      </c>
      <c r="B16" s="8"/>
      <c r="C16" s="8"/>
    </row>
    <row r="17" spans="1:6" ht="14" x14ac:dyDescent="0.25">
      <c r="A17" s="31" t="s">
        <v>358</v>
      </c>
      <c r="B17" s="8"/>
      <c r="C17" s="8"/>
      <c r="D17" s="8"/>
      <c r="E17" s="8"/>
      <c r="F17" s="8"/>
    </row>
    <row r="18" spans="1:6" x14ac:dyDescent="0.25">
      <c r="A18" s="8" t="s">
        <v>359</v>
      </c>
      <c r="B18" s="8">
        <v>18.8</v>
      </c>
      <c r="C18" s="8" t="s">
        <v>360</v>
      </c>
      <c r="D18" s="8"/>
      <c r="E18" s="8"/>
      <c r="F18" s="8" t="s">
        <v>361</v>
      </c>
    </row>
    <row r="19" spans="1:6" x14ac:dyDescent="0.25">
      <c r="A19" s="8" t="s">
        <v>362</v>
      </c>
      <c r="B19" s="8">
        <v>6.6</v>
      </c>
      <c r="C19" s="8" t="s">
        <v>360</v>
      </c>
      <c r="D19" s="8"/>
      <c r="E19" s="8"/>
      <c r="F19" s="8"/>
    </row>
    <row r="20" spans="1:6" x14ac:dyDescent="0.25">
      <c r="A20" s="8" t="s">
        <v>363</v>
      </c>
      <c r="B20" s="8">
        <v>10.199999999999999</v>
      </c>
      <c r="C20" s="8" t="s">
        <v>360</v>
      </c>
      <c r="D20" s="8"/>
      <c r="E20" s="8"/>
      <c r="F20" s="8"/>
    </row>
    <row r="21" spans="1:6" x14ac:dyDescent="0.25">
      <c r="A21" s="8" t="s">
        <v>364</v>
      </c>
      <c r="B21" s="8">
        <v>8.9</v>
      </c>
      <c r="C21" s="8" t="s">
        <v>360</v>
      </c>
      <c r="D21" s="8"/>
      <c r="E21" s="8"/>
      <c r="F21" s="8"/>
    </row>
    <row r="22" spans="1:6" x14ac:dyDescent="0.25">
      <c r="A22" s="8" t="s">
        <v>365</v>
      </c>
      <c r="B22" s="8">
        <v>36.799999999999997</v>
      </c>
      <c r="C22" s="8" t="s">
        <v>360</v>
      </c>
      <c r="D22" s="8"/>
      <c r="E22" s="8"/>
      <c r="F22" s="8"/>
    </row>
    <row r="23" spans="1:6" x14ac:dyDescent="0.25">
      <c r="A23" s="8" t="s">
        <v>366</v>
      </c>
      <c r="B23" s="8">
        <v>23.9</v>
      </c>
      <c r="C23" s="8" t="s">
        <v>360</v>
      </c>
      <c r="D23" s="8"/>
      <c r="E23" s="8"/>
      <c r="F23" s="8"/>
    </row>
    <row r="24" spans="1:6" x14ac:dyDescent="0.25">
      <c r="A24" s="8" t="s">
        <v>367</v>
      </c>
      <c r="B24" s="8">
        <v>80.900000000000006</v>
      </c>
      <c r="C24" s="8" t="s">
        <v>360</v>
      </c>
      <c r="D24" s="8"/>
      <c r="E24" s="8"/>
      <c r="F24" s="8"/>
    </row>
    <row r="25" spans="1:6" x14ac:dyDescent="0.25">
      <c r="A25" s="8" t="s">
        <v>368</v>
      </c>
      <c r="B25" s="8">
        <v>43.4</v>
      </c>
      <c r="C25" s="8" t="s">
        <v>360</v>
      </c>
      <c r="D25" s="8"/>
      <c r="E25" s="8"/>
      <c r="F25" s="8"/>
    </row>
    <row r="26" spans="1:6" x14ac:dyDescent="0.25">
      <c r="A26" s="8" t="s">
        <v>369</v>
      </c>
      <c r="B26" s="8">
        <v>8.6</v>
      </c>
      <c r="C26" s="8" t="s">
        <v>360</v>
      </c>
      <c r="D26" s="8"/>
      <c r="E26" s="8"/>
      <c r="F26" s="8"/>
    </row>
    <row r="27" spans="1:6" x14ac:dyDescent="0.25">
      <c r="A27" s="8" t="s">
        <v>370</v>
      </c>
      <c r="B27" s="8">
        <v>1.5</v>
      </c>
      <c r="C27" s="8" t="s">
        <v>360</v>
      </c>
      <c r="D27" s="8"/>
      <c r="E27" s="8"/>
      <c r="F27" s="8"/>
    </row>
    <row r="28" spans="1:6" x14ac:dyDescent="0.25">
      <c r="A28" s="8" t="s">
        <v>371</v>
      </c>
      <c r="B28" s="8">
        <v>26.9</v>
      </c>
      <c r="C28" s="8" t="s">
        <v>360</v>
      </c>
      <c r="D28" s="8"/>
      <c r="E28" s="8"/>
      <c r="F28" s="8"/>
    </row>
    <row r="29" spans="1:6" x14ac:dyDescent="0.25">
      <c r="A29" s="8" t="s">
        <v>372</v>
      </c>
      <c r="B29" s="8">
        <v>0.5</v>
      </c>
      <c r="C29" s="8" t="s">
        <v>360</v>
      </c>
      <c r="D29" s="8"/>
      <c r="E29" s="8"/>
      <c r="F29" s="8"/>
    </row>
    <row r="30" spans="1:6" x14ac:dyDescent="0.25">
      <c r="A30" s="8" t="s">
        <v>288</v>
      </c>
      <c r="B30" s="8">
        <f>SUM(B18:B29)</f>
        <v>267</v>
      </c>
      <c r="C30" s="8" t="s">
        <v>360</v>
      </c>
      <c r="D30" s="8"/>
      <c r="E30" s="8"/>
      <c r="F30" s="8"/>
    </row>
    <row r="31" spans="1:6" x14ac:dyDescent="0.25">
      <c r="A31" s="8" t="s">
        <v>373</v>
      </c>
      <c r="B31" s="13">
        <f>B30*B11*B13</f>
        <v>361.45593869731806</v>
      </c>
      <c r="C31" s="8" t="s">
        <v>374</v>
      </c>
      <c r="D31" s="8"/>
      <c r="E31" s="8"/>
      <c r="F31" s="8"/>
    </row>
    <row r="33" spans="1:4" x14ac:dyDescent="0.25">
      <c r="A33" s="8" t="s">
        <v>375</v>
      </c>
      <c r="B33" s="8">
        <v>171</v>
      </c>
      <c r="C33" s="8" t="s">
        <v>376</v>
      </c>
      <c r="D33" s="8" t="s">
        <v>377</v>
      </c>
    </row>
    <row r="34" spans="1:4" x14ac:dyDescent="0.25">
      <c r="A34" s="8" t="s">
        <v>378</v>
      </c>
      <c r="B34" s="30">
        <v>1</v>
      </c>
      <c r="C34" s="8" t="s">
        <v>379</v>
      </c>
      <c r="D34" s="8"/>
    </row>
    <row r="36" spans="1:4" x14ac:dyDescent="0.25">
      <c r="A36" s="8" t="s">
        <v>380</v>
      </c>
      <c r="B36" s="8">
        <v>12810</v>
      </c>
      <c r="C36" s="8" t="s">
        <v>381</v>
      </c>
      <c r="D36" s="8"/>
    </row>
    <row r="37" spans="1:4" x14ac:dyDescent="0.25">
      <c r="A37" s="8" t="s">
        <v>382</v>
      </c>
      <c r="B37" s="8">
        <v>1537</v>
      </c>
      <c r="C37" s="8" t="s">
        <v>383</v>
      </c>
      <c r="D37" s="8"/>
    </row>
    <row r="38" spans="1:4" x14ac:dyDescent="0.25">
      <c r="A38" s="8" t="s">
        <v>384</v>
      </c>
      <c r="B38" s="8">
        <v>46</v>
      </c>
      <c r="C38" s="8" t="s">
        <v>385</v>
      </c>
      <c r="D38" s="8"/>
    </row>
    <row r="39" spans="1:4" x14ac:dyDescent="0.25">
      <c r="A39" s="8" t="s">
        <v>386</v>
      </c>
      <c r="B39" s="8">
        <v>3600</v>
      </c>
      <c r="C39" s="8" t="s">
        <v>387</v>
      </c>
      <c r="D39" s="8"/>
    </row>
    <row r="40" spans="1:4" x14ac:dyDescent="0.25">
      <c r="A40" s="8" t="s">
        <v>380</v>
      </c>
      <c r="B40" s="40">
        <f>B36/($B$38/$B$39)</f>
        <v>1002521.7391304347</v>
      </c>
      <c r="C40" s="8" t="s">
        <v>388</v>
      </c>
      <c r="D40" s="8"/>
    </row>
    <row r="41" spans="1:4" x14ac:dyDescent="0.25">
      <c r="A41" s="8" t="s">
        <v>382</v>
      </c>
      <c r="B41" s="40">
        <f>B37/($B$38/$B$39)</f>
        <v>120286.95652173912</v>
      </c>
      <c r="C41" s="8" t="s">
        <v>389</v>
      </c>
      <c r="D41" s="8"/>
    </row>
    <row r="44" spans="1:4" x14ac:dyDescent="0.25">
      <c r="A44" s="8" t="s">
        <v>390</v>
      </c>
      <c r="B44" s="8">
        <f>B31/B33</f>
        <v>2.1137774192825618</v>
      </c>
      <c r="C44" s="8" t="s">
        <v>374</v>
      </c>
      <c r="D44" s="8"/>
    </row>
    <row r="45" spans="1:4" x14ac:dyDescent="0.25">
      <c r="A45" s="8" t="s">
        <v>391</v>
      </c>
      <c r="B45" s="8">
        <f>B33</f>
        <v>171</v>
      </c>
      <c r="C45" s="8" t="s">
        <v>392</v>
      </c>
      <c r="D45" s="8"/>
    </row>
    <row r="46" spans="1:4" x14ac:dyDescent="0.25">
      <c r="A46" s="8" t="s">
        <v>393</v>
      </c>
      <c r="B46" s="8">
        <f>(0.6+0.9)*B12*B14</f>
        <v>1.6808964781216649</v>
      </c>
      <c r="C46" s="8" t="s">
        <v>394</v>
      </c>
      <c r="D46" s="8"/>
    </row>
    <row r="47" spans="1:4" x14ac:dyDescent="0.25">
      <c r="A47" s="8" t="s">
        <v>395</v>
      </c>
      <c r="B47" s="8">
        <v>200</v>
      </c>
      <c r="C47" s="8" t="s">
        <v>396</v>
      </c>
      <c r="D47" s="8"/>
    </row>
    <row r="48" spans="1:4" x14ac:dyDescent="0.25">
      <c r="A48" s="8" t="s">
        <v>397</v>
      </c>
      <c r="B48" s="41">
        <f>B40/1000000*B13</f>
        <v>1.0626730434782607</v>
      </c>
      <c r="C48" s="8" t="s">
        <v>398</v>
      </c>
      <c r="D48" s="8"/>
    </row>
    <row r="49" spans="1:5" x14ac:dyDescent="0.25">
      <c r="A49" s="8" t="s">
        <v>399</v>
      </c>
      <c r="B49" s="12">
        <f>167/(9140/(9140+171300))*120400/(171300+9140)</f>
        <v>2199.8687089715536</v>
      </c>
      <c r="C49" s="8" t="s">
        <v>376</v>
      </c>
      <c r="D49" s="8"/>
      <c r="E49" s="8"/>
    </row>
    <row r="50" spans="1:5" x14ac:dyDescent="0.25">
      <c r="A50" s="8" t="s">
        <v>400</v>
      </c>
      <c r="B50" s="13">
        <v>0.6</v>
      </c>
      <c r="C50" s="8" t="s">
        <v>401</v>
      </c>
      <c r="D50" s="8"/>
      <c r="E50" s="8"/>
    </row>
    <row r="51" spans="1:5" x14ac:dyDescent="0.25">
      <c r="A51" s="8" t="s">
        <v>402</v>
      </c>
      <c r="B51" s="13">
        <v>1000</v>
      </c>
      <c r="C51" s="8" t="s">
        <v>403</v>
      </c>
      <c r="D51" s="8"/>
      <c r="E51" s="8"/>
    </row>
    <row r="52" spans="1:5" x14ac:dyDescent="0.25">
      <c r="A52" s="8" t="str">
        <f>"Normalized cost/" &amp; $B$51 &amp; " MW of capacity, Hannula et al"</f>
        <v>Normalized cost/1000 MW of capacity, Hannula et al</v>
      </c>
      <c r="B52" s="4">
        <f>B44*(B45/$B$51)^0.6</f>
        <v>0.73258314172191819</v>
      </c>
      <c r="C52" s="8" t="s">
        <v>374</v>
      </c>
      <c r="D52" s="8"/>
      <c r="E52" s="8"/>
    </row>
    <row r="53" spans="1:5" x14ac:dyDescent="0.25">
      <c r="A53" s="8" t="str">
        <f>"Normalized cost/" &amp; $B$51 &amp; " MW of capacity, Tremel et al"</f>
        <v>Normalized cost/1000 MW of capacity, Tremel et al</v>
      </c>
      <c r="B53" s="4">
        <f>B46*(B47/$B$51)^0.6</f>
        <v>0.63996904022999124</v>
      </c>
      <c r="C53" s="8" t="s">
        <v>374</v>
      </c>
      <c r="D53" s="8"/>
      <c r="E53" s="8"/>
    </row>
    <row r="54" spans="1:5" x14ac:dyDescent="0.25">
      <c r="A54" s="8" t="str">
        <f>"Normalized cost/" &amp; $B$51 &amp; " MW of capacity, Ruth et al"</f>
        <v>Normalized cost/1000 MW of capacity, Ruth et al</v>
      </c>
      <c r="B54" s="4">
        <f>B48*(B49/$B$51)^0.6</f>
        <v>1.7054450132384085</v>
      </c>
      <c r="C54" s="8" t="s">
        <v>374</v>
      </c>
      <c r="D54" s="8" t="s">
        <v>277</v>
      </c>
      <c r="E54" s="8" t="s">
        <v>404</v>
      </c>
    </row>
    <row r="55" spans="1:5" x14ac:dyDescent="0.25">
      <c r="A55" s="8" t="str">
        <f>"Normalized cost/" &amp; $B$51 &amp; " MW of capacity, Ruth et al"</f>
        <v>Normalized cost/1000 MW of capacity, Ruth et al</v>
      </c>
      <c r="B55" s="4">
        <f>B48</f>
        <v>1.0626730434782607</v>
      </c>
      <c r="C55" s="8" t="s">
        <v>374</v>
      </c>
      <c r="D55" s="8" t="s">
        <v>278</v>
      </c>
      <c r="E55" s="8" t="s">
        <v>404</v>
      </c>
    </row>
    <row r="57" spans="1:5" ht="14" x14ac:dyDescent="0.25">
      <c r="A57" s="6" t="s">
        <v>405</v>
      </c>
      <c r="B57" s="8"/>
      <c r="C57" s="8"/>
      <c r="D57" s="8"/>
      <c r="E57" s="8"/>
    </row>
    <row r="58" spans="1:5" x14ac:dyDescent="0.25">
      <c r="A58" s="8" t="s">
        <v>406</v>
      </c>
      <c r="B58" s="8">
        <v>-6.34</v>
      </c>
      <c r="C58" s="8" t="s">
        <v>407</v>
      </c>
      <c r="D58" s="8"/>
      <c r="E58" s="8"/>
    </row>
    <row r="59" spans="1:5" x14ac:dyDescent="0.25">
      <c r="A59" s="8" t="s">
        <v>408</v>
      </c>
      <c r="B59" s="8">
        <v>-242</v>
      </c>
      <c r="C59" s="8" t="s">
        <v>407</v>
      </c>
      <c r="D59" s="8"/>
      <c r="E59" s="8"/>
    </row>
    <row r="60" spans="1:5" x14ac:dyDescent="0.25">
      <c r="A60" s="8" t="s">
        <v>409</v>
      </c>
      <c r="B60" s="8">
        <v>-286</v>
      </c>
      <c r="C60" s="8" t="s">
        <v>407</v>
      </c>
      <c r="D60" s="8"/>
      <c r="E60" s="8"/>
    </row>
    <row r="61" spans="1:5" ht="14" x14ac:dyDescent="0.25">
      <c r="A61" s="8" t="s">
        <v>410</v>
      </c>
      <c r="B61" s="33">
        <v>-283.24</v>
      </c>
      <c r="C61" s="8" t="s">
        <v>407</v>
      </c>
      <c r="D61" s="8"/>
      <c r="E61" s="8"/>
    </row>
    <row r="62" spans="1:5" x14ac:dyDescent="0.25">
      <c r="A62" s="8" t="s">
        <v>411</v>
      </c>
      <c r="B62" s="8">
        <f>1/3*(B61+2*B59)</f>
        <v>-255.74666666666667</v>
      </c>
      <c r="C62" s="8" t="s">
        <v>412</v>
      </c>
      <c r="D62" s="8"/>
      <c r="E62" s="8"/>
    </row>
    <row r="63" spans="1:5" x14ac:dyDescent="0.25">
      <c r="A63" s="8" t="s">
        <v>413</v>
      </c>
      <c r="B63" s="37">
        <f>B58/B62</f>
        <v>2.4790156926124809E-2</v>
      </c>
      <c r="C63" s="8"/>
      <c r="D63" s="8"/>
      <c r="E63" s="8"/>
    </row>
    <row r="64" spans="1:5" x14ac:dyDescent="0.25">
      <c r="A64" s="8" t="s">
        <v>414</v>
      </c>
      <c r="B64" s="8">
        <v>42.6</v>
      </c>
      <c r="C64" s="8" t="s">
        <v>385</v>
      </c>
      <c r="D64" s="8"/>
      <c r="E64" s="8"/>
    </row>
    <row r="65" spans="1:3" x14ac:dyDescent="0.25">
      <c r="A65" s="8" t="s">
        <v>415</v>
      </c>
      <c r="B65" s="8">
        <v>44.8</v>
      </c>
      <c r="C65" s="8" t="s">
        <v>385</v>
      </c>
    </row>
    <row r="66" spans="1:3" x14ac:dyDescent="0.25">
      <c r="A66" s="8" t="s">
        <v>416</v>
      </c>
      <c r="B66" s="8">
        <f>(12.01*B72+B71*2*1.008)/1000</f>
        <v>0.17902019999999999</v>
      </c>
      <c r="C66" s="8" t="s">
        <v>417</v>
      </c>
    </row>
    <row r="67" spans="1:3" x14ac:dyDescent="0.25">
      <c r="A67" s="8" t="s">
        <v>418</v>
      </c>
      <c r="B67" s="8">
        <v>9.4708628903179002E-4</v>
      </c>
      <c r="C67" s="8" t="s">
        <v>419</v>
      </c>
    </row>
    <row r="68" spans="1:3" x14ac:dyDescent="0.25">
      <c r="A68" s="8" t="s">
        <v>414</v>
      </c>
      <c r="B68" s="8">
        <f>B64*$B$66</f>
        <v>7.6262605199999998</v>
      </c>
      <c r="C68" s="8" t="s">
        <v>420</v>
      </c>
    </row>
    <row r="69" spans="1:3" x14ac:dyDescent="0.25">
      <c r="A69" s="8" t="s">
        <v>421</v>
      </c>
      <c r="B69" s="8">
        <f>B65*$B$66</f>
        <v>8.0201049599999994</v>
      </c>
      <c r="C69" s="8" t="s">
        <v>420</v>
      </c>
    </row>
    <row r="71" spans="1:3" x14ac:dyDescent="0.25">
      <c r="A71" s="8" t="s">
        <v>422</v>
      </c>
      <c r="B71" s="8">
        <f>23.9/2</f>
        <v>11.95</v>
      </c>
      <c r="C71" s="8" t="s">
        <v>423</v>
      </c>
    </row>
    <row r="72" spans="1:3" x14ac:dyDescent="0.25">
      <c r="A72" s="8" t="s">
        <v>424</v>
      </c>
      <c r="B72" s="8">
        <v>12.9</v>
      </c>
      <c r="C72" s="8" t="s">
        <v>425</v>
      </c>
    </row>
    <row r="73" spans="1:3" x14ac:dyDescent="0.25">
      <c r="A73" s="8" t="s">
        <v>426</v>
      </c>
      <c r="B73" s="8">
        <v>1</v>
      </c>
      <c r="C73" s="8" t="s">
        <v>427</v>
      </c>
    </row>
    <row r="74" spans="1:3" x14ac:dyDescent="0.25">
      <c r="A74" s="8" t="s">
        <v>428</v>
      </c>
      <c r="B74" s="8">
        <v>1</v>
      </c>
      <c r="C74" s="8" t="s">
        <v>429</v>
      </c>
    </row>
    <row r="75" spans="1:3" x14ac:dyDescent="0.25">
      <c r="A75" s="8" t="s">
        <v>430</v>
      </c>
      <c r="B75" s="8">
        <v>1</v>
      </c>
      <c r="C75" s="8" t="s">
        <v>427</v>
      </c>
    </row>
    <row r="77" spans="1:3" x14ac:dyDescent="0.25">
      <c r="A77" s="8" t="s">
        <v>431</v>
      </c>
      <c r="B77" s="8">
        <f>(B71+(B73+B74)*B75*B72)</f>
        <v>37.75</v>
      </c>
      <c r="C77" s="8"/>
    </row>
    <row r="78" spans="1:3" x14ac:dyDescent="0.25">
      <c r="A78" s="8" t="s">
        <v>432</v>
      </c>
      <c r="B78" s="8">
        <f>ABS($B$77*B59/(1000*B64*$B$66))</f>
        <v>1.1979003308426186</v>
      </c>
      <c r="C78" s="8"/>
    </row>
    <row r="79" spans="1:3" x14ac:dyDescent="0.25">
      <c r="A79" s="8" t="s">
        <v>433</v>
      </c>
      <c r="B79" s="8">
        <f>ABS($B$77*B60/(1000*B65*$B$66))</f>
        <v>1.3461793896522771</v>
      </c>
      <c r="C79" s="8"/>
    </row>
    <row r="80" spans="1:3" x14ac:dyDescent="0.25">
      <c r="A80" s="32" t="s">
        <v>434</v>
      </c>
      <c r="B80" s="36">
        <f>1/B78</f>
        <v>0.83479399266597332</v>
      </c>
      <c r="C80" s="8" t="s">
        <v>435</v>
      </c>
    </row>
    <row r="81" spans="1:4" x14ac:dyDescent="0.25">
      <c r="A81" s="32" t="s">
        <v>436</v>
      </c>
      <c r="B81" s="36">
        <f>1/B79</f>
        <v>0.74284304728384198</v>
      </c>
      <c r="C81" s="8" t="s">
        <v>437</v>
      </c>
      <c r="D81" s="8"/>
    </row>
    <row r="83" spans="1:4" x14ac:dyDescent="0.25">
      <c r="A83" s="8" t="s">
        <v>438</v>
      </c>
      <c r="B83" s="8" t="s">
        <v>277</v>
      </c>
      <c r="C83" s="30">
        <v>0.45600000000000002</v>
      </c>
      <c r="D83" s="8" t="s">
        <v>439</v>
      </c>
    </row>
    <row r="84" spans="1:4" x14ac:dyDescent="0.25">
      <c r="A84" s="8" t="s">
        <v>440</v>
      </c>
      <c r="B84" s="8" t="s">
        <v>278</v>
      </c>
      <c r="C84" s="30">
        <f>120400/(171300+9140)</f>
        <v>0.66725781423187758</v>
      </c>
      <c r="D84" s="8" t="s">
        <v>441</v>
      </c>
    </row>
    <row r="85" spans="1:4" x14ac:dyDescent="0.25">
      <c r="A85" s="8" t="s">
        <v>442</v>
      </c>
      <c r="B85" s="8" t="s">
        <v>443</v>
      </c>
      <c r="C85" s="30">
        <f>(B59/B60)*(B65/B64)</f>
        <v>0.8898519321054531</v>
      </c>
      <c r="D85" s="8" t="s">
        <v>444</v>
      </c>
    </row>
    <row r="86" spans="1:4" x14ac:dyDescent="0.25">
      <c r="A86" s="8" t="s">
        <v>445</v>
      </c>
      <c r="B86" s="8" t="s">
        <v>277</v>
      </c>
      <c r="C86" s="30">
        <f>C83*C85/B81</f>
        <v>0.54624255086423401</v>
      </c>
      <c r="D86" s="14"/>
    </row>
    <row r="87" spans="1:4" x14ac:dyDescent="0.25">
      <c r="A87" s="8" t="s">
        <v>446</v>
      </c>
      <c r="B87" s="8" t="s">
        <v>278</v>
      </c>
      <c r="C87" s="30">
        <f>C84/B81</f>
        <v>0.89824871710338139</v>
      </c>
      <c r="D87" s="8"/>
    </row>
    <row r="88" spans="1:4" x14ac:dyDescent="0.25">
      <c r="A88" s="8" t="s">
        <v>447</v>
      </c>
      <c r="B88" s="8" t="s">
        <v>277</v>
      </c>
      <c r="C88" s="30">
        <v>0.7</v>
      </c>
      <c r="D88" s="8" t="s">
        <v>448</v>
      </c>
    </row>
    <row r="89" spans="1:4" x14ac:dyDescent="0.25">
      <c r="A89" s="8" t="s">
        <v>447</v>
      </c>
      <c r="B89" s="8" t="s">
        <v>278</v>
      </c>
      <c r="C89" s="39">
        <v>0.94399999999999995</v>
      </c>
      <c r="D89" s="8" t="s">
        <v>449</v>
      </c>
    </row>
    <row r="90" spans="1:4" x14ac:dyDescent="0.25">
      <c r="A90" s="8"/>
      <c r="B90" s="8"/>
      <c r="C90" s="39"/>
      <c r="D90" s="8"/>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9" tint="0.59999389629810485"/>
  </sheetPr>
  <dimension ref="A1:M41"/>
  <sheetViews>
    <sheetView workbookViewId="0">
      <selection activeCell="D14" sqref="D14"/>
    </sheetView>
  </sheetViews>
  <sheetFormatPr defaultColWidth="9.3984375" defaultRowHeight="11.5" x14ac:dyDescent="0.25"/>
  <cols>
    <col min="1" max="1" width="7.59765625" style="42" customWidth="1"/>
    <col min="2" max="2" width="69.8984375" style="42" customWidth="1"/>
    <col min="3" max="3" width="21" style="42" customWidth="1"/>
    <col min="4" max="4" width="17" style="42" customWidth="1"/>
    <col min="5" max="5" width="26.09765625" style="42" customWidth="1"/>
    <col min="6" max="6" width="48.09765625" style="42" customWidth="1"/>
    <col min="7" max="10" width="9.3984375" style="42"/>
    <col min="11" max="11" width="11.8984375" style="42" customWidth="1"/>
    <col min="12" max="13" width="9.3984375" style="42"/>
    <col min="14" max="14" width="29.8984375" style="42" customWidth="1"/>
    <col min="15" max="15" width="8.59765625" style="42" customWidth="1"/>
    <col min="16" max="16" width="8.09765625" style="42" customWidth="1"/>
    <col min="17" max="16384" width="9.3984375" style="42"/>
  </cols>
  <sheetData>
    <row r="1" spans="1:10" ht="14" x14ac:dyDescent="0.25">
      <c r="A1" s="8"/>
      <c r="B1" s="6" t="s">
        <v>450</v>
      </c>
      <c r="C1" s="6"/>
      <c r="D1" s="61" t="s">
        <v>451</v>
      </c>
      <c r="E1" s="6" t="s">
        <v>452</v>
      </c>
      <c r="F1" s="6" t="s">
        <v>453</v>
      </c>
      <c r="G1" s="49"/>
      <c r="H1" s="49"/>
      <c r="I1" s="49"/>
      <c r="J1" s="49"/>
    </row>
    <row r="2" spans="1:10" x14ac:dyDescent="0.25">
      <c r="A2" s="8"/>
      <c r="B2" s="54" t="s">
        <v>454</v>
      </c>
      <c r="C2" s="54"/>
      <c r="D2" s="13">
        <v>3.6</v>
      </c>
      <c r="E2" s="8" t="s">
        <v>455</v>
      </c>
      <c r="F2" s="8"/>
      <c r="G2" s="49"/>
      <c r="H2" s="49"/>
      <c r="I2" s="49"/>
      <c r="J2" s="49"/>
    </row>
    <row r="3" spans="1:10" x14ac:dyDescent="0.25">
      <c r="A3" s="8"/>
      <c r="B3" s="54" t="s">
        <v>454</v>
      </c>
      <c r="C3" s="54"/>
      <c r="D3" s="13">
        <v>365</v>
      </c>
      <c r="E3" s="54" t="s">
        <v>456</v>
      </c>
      <c r="F3" s="8"/>
      <c r="G3" s="49"/>
      <c r="H3" s="49"/>
      <c r="I3" s="49"/>
      <c r="J3" s="49"/>
    </row>
    <row r="4" spans="1:10" x14ac:dyDescent="0.25">
      <c r="A4" s="8"/>
      <c r="B4" s="65" t="s">
        <v>457</v>
      </c>
      <c r="C4" s="76"/>
      <c r="D4" s="66">
        <v>0.95</v>
      </c>
      <c r="E4" s="67"/>
      <c r="F4" s="67" t="s">
        <v>458</v>
      </c>
      <c r="G4" s="49"/>
      <c r="H4" s="49"/>
      <c r="I4" s="49"/>
      <c r="J4" s="49"/>
    </row>
    <row r="5" spans="1:10" ht="33.75" customHeight="1" x14ac:dyDescent="0.25">
      <c r="A5" s="295" t="s">
        <v>459</v>
      </c>
      <c r="B5" s="62" t="s">
        <v>460</v>
      </c>
      <c r="C5" s="75" t="s">
        <v>278</v>
      </c>
      <c r="D5" s="63">
        <v>2.14</v>
      </c>
      <c r="E5" s="64" t="s">
        <v>461</v>
      </c>
      <c r="F5" s="64" t="s">
        <v>462</v>
      </c>
      <c r="G5" s="49"/>
      <c r="H5" s="49"/>
      <c r="I5" s="49"/>
      <c r="J5" s="49"/>
    </row>
    <row r="6" spans="1:10" ht="33.75" customHeight="1" x14ac:dyDescent="0.25">
      <c r="A6" s="295"/>
      <c r="B6" s="65" t="s">
        <v>463</v>
      </c>
      <c r="C6" s="76" t="s">
        <v>278</v>
      </c>
      <c r="D6" s="66">
        <v>0.21</v>
      </c>
      <c r="E6" s="67" t="s">
        <v>461</v>
      </c>
      <c r="F6" s="67" t="s">
        <v>464</v>
      </c>
      <c r="G6" s="49"/>
      <c r="H6" s="49"/>
      <c r="I6" s="49"/>
      <c r="J6" s="49"/>
    </row>
    <row r="7" spans="1:10" x14ac:dyDescent="0.25">
      <c r="A7" s="152"/>
      <c r="B7" s="62" t="s">
        <v>465</v>
      </c>
      <c r="C7" s="75" t="s">
        <v>277</v>
      </c>
      <c r="D7" s="63">
        <v>2.9722222222222219</v>
      </c>
      <c r="E7" s="64" t="s">
        <v>461</v>
      </c>
      <c r="F7" s="64" t="s">
        <v>466</v>
      </c>
      <c r="G7" s="49"/>
      <c r="H7" s="49"/>
      <c r="I7" s="49"/>
      <c r="J7" s="49"/>
    </row>
    <row r="8" spans="1:10" x14ac:dyDescent="0.25">
      <c r="A8" s="8"/>
      <c r="B8" s="65" t="s">
        <v>467</v>
      </c>
      <c r="C8" s="76" t="s">
        <v>277</v>
      </c>
      <c r="D8" s="66">
        <v>0.47222222222222221</v>
      </c>
      <c r="E8" s="67" t="s">
        <v>461</v>
      </c>
      <c r="F8" s="67" t="s">
        <v>468</v>
      </c>
      <c r="H8" s="49"/>
      <c r="I8" s="49"/>
      <c r="J8" s="49"/>
    </row>
    <row r="9" spans="1:10" x14ac:dyDescent="0.25">
      <c r="A9" s="8"/>
      <c r="B9" s="62" t="s">
        <v>469</v>
      </c>
      <c r="C9" s="75" t="s">
        <v>278</v>
      </c>
      <c r="D9" s="69">
        <v>675000000</v>
      </c>
      <c r="E9" s="77" t="s">
        <v>470</v>
      </c>
      <c r="F9" s="64" t="s">
        <v>471</v>
      </c>
      <c r="H9" s="49"/>
      <c r="I9" s="49"/>
      <c r="J9" s="49"/>
    </row>
    <row r="10" spans="1:10" x14ac:dyDescent="0.25">
      <c r="A10" s="8"/>
      <c r="B10" s="65" t="s">
        <v>472</v>
      </c>
      <c r="C10" s="76" t="s">
        <v>277</v>
      </c>
      <c r="D10" s="70">
        <v>1255000000</v>
      </c>
      <c r="E10" s="78" t="s">
        <v>470</v>
      </c>
      <c r="F10" s="67" t="s">
        <v>473</v>
      </c>
      <c r="H10" s="49"/>
      <c r="I10" s="49"/>
      <c r="J10" s="49"/>
    </row>
    <row r="11" spans="1:10" x14ac:dyDescent="0.25">
      <c r="A11" s="8"/>
      <c r="B11" s="62" t="s">
        <v>474</v>
      </c>
      <c r="C11" s="75" t="s">
        <v>278</v>
      </c>
      <c r="D11" s="63">
        <f>18+6+5</f>
        <v>29</v>
      </c>
      <c r="E11" s="64" t="s">
        <v>475</v>
      </c>
      <c r="F11" s="64" t="s">
        <v>476</v>
      </c>
      <c r="H11" s="49"/>
      <c r="I11" s="49"/>
      <c r="J11" s="49"/>
    </row>
    <row r="12" spans="1:10" x14ac:dyDescent="0.25">
      <c r="A12" s="8"/>
      <c r="B12" s="65" t="s">
        <v>477</v>
      </c>
      <c r="C12" s="76" t="s">
        <v>277</v>
      </c>
      <c r="D12" s="66">
        <f>33+10+7</f>
        <v>50</v>
      </c>
      <c r="E12" s="67" t="s">
        <v>475</v>
      </c>
      <c r="F12" s="67" t="s">
        <v>476</v>
      </c>
      <c r="H12" s="49"/>
      <c r="I12" s="49"/>
      <c r="J12" s="49"/>
    </row>
    <row r="13" spans="1:10" x14ac:dyDescent="0.25">
      <c r="A13" s="8"/>
      <c r="B13" s="62" t="s">
        <v>478</v>
      </c>
      <c r="C13" s="75"/>
      <c r="D13" s="68">
        <v>0</v>
      </c>
      <c r="E13" s="68" t="s">
        <v>479</v>
      </c>
      <c r="F13" s="64" t="s">
        <v>480</v>
      </c>
      <c r="H13" s="49"/>
      <c r="I13" s="49"/>
      <c r="J13" s="49"/>
    </row>
    <row r="14" spans="1:10" x14ac:dyDescent="0.25">
      <c r="A14" s="8"/>
      <c r="B14" s="65" t="s">
        <v>481</v>
      </c>
      <c r="C14" s="76"/>
      <c r="D14" s="74" t="e">
        <f>Pathways!#REF!</f>
        <v>#REF!</v>
      </c>
      <c r="E14" s="67" t="s">
        <v>482</v>
      </c>
      <c r="F14" s="67" t="s">
        <v>483</v>
      </c>
      <c r="H14" s="49"/>
      <c r="I14" s="49"/>
      <c r="J14" s="49"/>
    </row>
    <row r="15" spans="1:10" x14ac:dyDescent="0.25">
      <c r="A15" s="8"/>
      <c r="B15" s="62" t="s">
        <v>484</v>
      </c>
      <c r="C15" s="75"/>
      <c r="D15" s="68" t="e">
        <f>D9*$D$14*0.000001+D11</f>
        <v>#REF!</v>
      </c>
      <c r="E15" s="64" t="s">
        <v>485</v>
      </c>
      <c r="F15" s="64" t="s">
        <v>483</v>
      </c>
      <c r="H15" s="49"/>
      <c r="I15" s="49"/>
      <c r="J15" s="49"/>
    </row>
    <row r="16" spans="1:10" x14ac:dyDescent="0.25">
      <c r="A16" s="8"/>
      <c r="B16" s="71" t="s">
        <v>486</v>
      </c>
      <c r="C16" s="73"/>
      <c r="D16" s="72" t="e">
        <f>D10*$D$14*0.000001+D12</f>
        <v>#REF!</v>
      </c>
      <c r="E16" s="73" t="s">
        <v>487</v>
      </c>
      <c r="F16" s="73" t="s">
        <v>483</v>
      </c>
      <c r="H16" s="49"/>
      <c r="I16" s="49"/>
      <c r="J16" s="49"/>
    </row>
    <row r="17" spans="2:13" x14ac:dyDescent="0.25">
      <c r="B17" s="62" t="s">
        <v>488</v>
      </c>
      <c r="C17" s="75" t="s">
        <v>278</v>
      </c>
      <c r="D17" s="68">
        <f>D5+D6</f>
        <v>2.35</v>
      </c>
      <c r="E17" s="68" t="s">
        <v>461</v>
      </c>
      <c r="G17" s="49"/>
      <c r="H17" s="49"/>
      <c r="I17" s="49"/>
    </row>
    <row r="18" spans="2:13" x14ac:dyDescent="0.25">
      <c r="B18" s="65" t="s">
        <v>489</v>
      </c>
      <c r="C18" s="76" t="s">
        <v>277</v>
      </c>
      <c r="D18" s="74">
        <f>D7+D8</f>
        <v>3.4444444444444442</v>
      </c>
      <c r="E18" s="67" t="s">
        <v>461</v>
      </c>
      <c r="G18" s="49"/>
      <c r="H18" s="49"/>
      <c r="I18" s="49"/>
    </row>
    <row r="19" spans="2:13" x14ac:dyDescent="0.25">
      <c r="B19" s="62" t="s">
        <v>474</v>
      </c>
      <c r="C19" s="75" t="s">
        <v>278</v>
      </c>
      <c r="D19" s="68">
        <f>D11/D17</f>
        <v>12.340425531914892</v>
      </c>
      <c r="E19" s="68" t="s">
        <v>490</v>
      </c>
      <c r="F19" s="8"/>
      <c r="G19" s="49"/>
      <c r="H19" s="49"/>
      <c r="I19" s="49"/>
    </row>
    <row r="20" spans="2:13" x14ac:dyDescent="0.25">
      <c r="B20" s="65" t="s">
        <v>477</v>
      </c>
      <c r="C20" s="76" t="s">
        <v>277</v>
      </c>
      <c r="D20" s="74">
        <f>D12/D18</f>
        <v>14.516129032258066</v>
      </c>
      <c r="E20" s="67" t="s">
        <v>490</v>
      </c>
      <c r="F20" s="8"/>
      <c r="G20" s="49"/>
      <c r="H20" s="49"/>
      <c r="I20" s="49"/>
    </row>
    <row r="21" spans="2:13" x14ac:dyDescent="0.25">
      <c r="B21" s="42" t="s">
        <v>491</v>
      </c>
      <c r="C21" s="42" t="s">
        <v>492</v>
      </c>
      <c r="D21" s="60">
        <f>D13/$D$17</f>
        <v>0</v>
      </c>
      <c r="E21" s="8" t="s">
        <v>490</v>
      </c>
      <c r="G21" s="49"/>
      <c r="H21" s="49"/>
      <c r="I21" s="49"/>
    </row>
    <row r="22" spans="2:13" x14ac:dyDescent="0.25">
      <c r="B22" s="62" t="s">
        <v>493</v>
      </c>
      <c r="C22" s="75" t="s">
        <v>278</v>
      </c>
      <c r="D22" s="68">
        <f>D6*$D$2*1000000*0.001/$D$4</f>
        <v>795.78947368421052</v>
      </c>
      <c r="E22" s="64" t="s">
        <v>494</v>
      </c>
      <c r="F22" s="49"/>
      <c r="G22" s="49"/>
      <c r="H22" s="49"/>
      <c r="I22" s="49"/>
      <c r="M22" s="8"/>
    </row>
    <row r="23" spans="2:13" ht="14" x14ac:dyDescent="0.25">
      <c r="B23" s="71" t="s">
        <v>495</v>
      </c>
      <c r="C23" s="73" t="s">
        <v>278</v>
      </c>
      <c r="D23" s="72">
        <f>D5*$D$2*1000000*0.001/$D$4</f>
        <v>8109.4736842105276</v>
      </c>
      <c r="E23" s="73" t="s">
        <v>494</v>
      </c>
      <c r="F23" s="49"/>
      <c r="G23" s="50"/>
      <c r="H23" s="50"/>
      <c r="I23" s="50"/>
      <c r="M23" s="7"/>
    </row>
    <row r="24" spans="2:13" ht="14" x14ac:dyDescent="0.25">
      <c r="B24" s="62" t="s">
        <v>493</v>
      </c>
      <c r="C24" s="75" t="s">
        <v>277</v>
      </c>
      <c r="D24" s="68">
        <f>D8*$D$2*1000000*0.001/$D$4</f>
        <v>1789.4736842105265</v>
      </c>
      <c r="E24" s="64" t="s">
        <v>494</v>
      </c>
      <c r="F24" s="49"/>
      <c r="G24" s="50"/>
      <c r="H24" s="50"/>
      <c r="I24" s="50"/>
      <c r="M24" s="7"/>
    </row>
    <row r="25" spans="2:13" ht="14" x14ac:dyDescent="0.25">
      <c r="B25" s="71" t="s">
        <v>495</v>
      </c>
      <c r="C25" s="73" t="s">
        <v>277</v>
      </c>
      <c r="D25" s="72">
        <f>D7*$D$2*1000000*0.001/$D$4</f>
        <v>11263.157894736843</v>
      </c>
      <c r="E25" s="73" t="s">
        <v>494</v>
      </c>
      <c r="F25" s="49"/>
      <c r="G25" s="50"/>
      <c r="H25" s="50"/>
      <c r="I25" s="50"/>
      <c r="M25" s="7"/>
    </row>
    <row r="26" spans="2:13" ht="12.5" x14ac:dyDescent="0.25">
      <c r="B26" s="62" t="s">
        <v>496</v>
      </c>
      <c r="C26" s="75" t="s">
        <v>278</v>
      </c>
      <c r="D26" s="69">
        <f>D9*0.000001*$D$3/$D$4</f>
        <v>259342.10526315789</v>
      </c>
      <c r="E26" s="64" t="s">
        <v>497</v>
      </c>
      <c r="F26" s="49"/>
      <c r="G26" s="51"/>
      <c r="H26" s="51"/>
      <c r="I26" s="51"/>
      <c r="J26" s="51"/>
      <c r="K26" s="44"/>
      <c r="L26" s="44"/>
      <c r="M26" s="56"/>
    </row>
    <row r="27" spans="2:13" ht="14" x14ac:dyDescent="0.25">
      <c r="B27" s="71" t="s">
        <v>496</v>
      </c>
      <c r="C27" s="73" t="s">
        <v>277</v>
      </c>
      <c r="D27" s="72">
        <f>D10*0.000001*$D$3/$D$4</f>
        <v>482184.21052631579</v>
      </c>
      <c r="E27" s="73" t="s">
        <v>497</v>
      </c>
      <c r="F27" s="49"/>
      <c r="G27" s="50"/>
      <c r="H27" s="50"/>
      <c r="I27" s="50"/>
      <c r="J27" s="50"/>
      <c r="K27" s="43"/>
      <c r="L27" s="43"/>
      <c r="M27" s="7"/>
    </row>
    <row r="28" spans="2:13" ht="14" x14ac:dyDescent="0.25">
      <c r="B28" s="49"/>
      <c r="C28" s="49"/>
      <c r="D28" s="49"/>
      <c r="E28" s="49"/>
      <c r="F28" s="49"/>
      <c r="G28" s="50"/>
      <c r="H28" s="50"/>
      <c r="I28" s="50"/>
      <c r="J28" s="50"/>
      <c r="K28" s="43"/>
      <c r="L28" s="43"/>
      <c r="M28" s="7"/>
    </row>
    <row r="29" spans="2:13" ht="14" x14ac:dyDescent="0.25">
      <c r="B29" s="45" t="s">
        <v>498</v>
      </c>
      <c r="C29" s="45"/>
      <c r="G29" s="49"/>
      <c r="H29" s="49"/>
      <c r="I29" s="49"/>
      <c r="J29" s="49"/>
      <c r="M29" s="8"/>
    </row>
    <row r="30" spans="2:13" x14ac:dyDescent="0.25">
      <c r="B30" s="42" t="s">
        <v>499</v>
      </c>
      <c r="D30" s="42">
        <v>590</v>
      </c>
      <c r="E30" s="8" t="s">
        <v>494</v>
      </c>
      <c r="G30" s="49"/>
      <c r="H30" s="49"/>
      <c r="I30" s="49"/>
      <c r="J30" s="49"/>
      <c r="M30" s="8"/>
    </row>
    <row r="31" spans="2:13" x14ac:dyDescent="0.25">
      <c r="B31" s="49" t="s">
        <v>500</v>
      </c>
      <c r="C31" s="49"/>
      <c r="D31" s="49">
        <v>6100</v>
      </c>
      <c r="E31" s="8" t="s">
        <v>494</v>
      </c>
      <c r="G31" s="49"/>
      <c r="H31" s="49"/>
      <c r="I31" s="49"/>
      <c r="J31" s="49"/>
      <c r="M31" s="8"/>
    </row>
    <row r="32" spans="2:13" ht="14" x14ac:dyDescent="0.3">
      <c r="B32" s="49" t="s">
        <v>501</v>
      </c>
      <c r="C32" s="49"/>
      <c r="D32" s="49">
        <v>97747.966698570046</v>
      </c>
      <c r="E32" s="18" t="s">
        <v>502</v>
      </c>
      <c r="G32" s="52"/>
      <c r="H32" s="52"/>
      <c r="I32" s="52"/>
      <c r="J32" s="52"/>
      <c r="K32" s="46"/>
    </row>
    <row r="33" spans="2:11" ht="14" x14ac:dyDescent="0.25">
      <c r="B33" s="49" t="s">
        <v>503</v>
      </c>
      <c r="C33" s="49"/>
      <c r="D33" s="8">
        <v>284424.02805769857</v>
      </c>
      <c r="E33" s="18" t="s">
        <v>502</v>
      </c>
      <c r="G33" s="53"/>
      <c r="H33" s="53"/>
      <c r="I33" s="53"/>
      <c r="J33" s="53"/>
      <c r="K33" s="47"/>
    </row>
    <row r="34" spans="2:11" x14ac:dyDescent="0.25">
      <c r="B34" s="49" t="s">
        <v>504</v>
      </c>
      <c r="C34" s="49"/>
      <c r="D34" s="15">
        <f>D22/D30</f>
        <v>1.3487957181088315</v>
      </c>
      <c r="F34" s="49"/>
      <c r="G34" s="53"/>
      <c r="H34" s="53"/>
      <c r="I34" s="53"/>
      <c r="J34" s="53"/>
      <c r="K34" s="47"/>
    </row>
    <row r="35" spans="2:11" ht="14" x14ac:dyDescent="0.25">
      <c r="B35" s="8" t="s">
        <v>505</v>
      </c>
      <c r="C35" s="8"/>
      <c r="D35" s="57">
        <f>D23/D31</f>
        <v>1.3294219154443487</v>
      </c>
      <c r="E35" s="49"/>
      <c r="F35" s="52"/>
      <c r="G35" s="53"/>
      <c r="H35" s="53"/>
      <c r="I35" s="53"/>
      <c r="J35" s="53"/>
      <c r="K35" s="47"/>
    </row>
    <row r="36" spans="2:11" ht="14" x14ac:dyDescent="0.25">
      <c r="B36" s="8" t="s">
        <v>506</v>
      </c>
      <c r="C36" s="8"/>
      <c r="D36" s="58">
        <f>D26/D32</f>
        <v>2.6531713550922569</v>
      </c>
      <c r="E36" s="52"/>
      <c r="G36" s="53"/>
      <c r="H36" s="53"/>
      <c r="I36" s="53"/>
      <c r="J36" s="53"/>
      <c r="K36" s="47"/>
    </row>
    <row r="37" spans="2:11" x14ac:dyDescent="0.25">
      <c r="B37" s="8" t="s">
        <v>507</v>
      </c>
      <c r="C37" s="8"/>
      <c r="D37" s="15">
        <f>$D$27/D33</f>
        <v>1.6953005476334067</v>
      </c>
      <c r="G37" s="53"/>
      <c r="H37" s="53"/>
      <c r="I37" s="53"/>
      <c r="J37" s="53"/>
      <c r="K37" s="47"/>
    </row>
    <row r="38" spans="2:11" ht="14" x14ac:dyDescent="0.25">
      <c r="B38" s="45"/>
      <c r="C38" s="45"/>
      <c r="D38" s="53"/>
      <c r="E38" s="53"/>
      <c r="F38" s="53"/>
      <c r="G38" s="53"/>
      <c r="H38" s="53"/>
      <c r="I38" s="53"/>
      <c r="J38" s="53"/>
      <c r="K38" s="47"/>
    </row>
    <row r="39" spans="2:11" ht="14" x14ac:dyDescent="0.25">
      <c r="B39" s="45"/>
      <c r="C39" s="45"/>
      <c r="D39" s="53"/>
      <c r="E39" s="53"/>
      <c r="F39" s="53"/>
      <c r="G39" s="53"/>
      <c r="H39" s="53"/>
      <c r="I39" s="53"/>
      <c r="J39" s="53"/>
      <c r="K39" s="47"/>
    </row>
    <row r="40" spans="2:11" ht="14" x14ac:dyDescent="0.25">
      <c r="B40" s="45"/>
      <c r="C40" s="45"/>
    </row>
    <row r="41" spans="2:11" ht="14" x14ac:dyDescent="0.25">
      <c r="B41" s="45"/>
      <c r="C41" s="45"/>
      <c r="D41" s="48"/>
    </row>
  </sheetData>
  <mergeCells count="1">
    <mergeCell ref="A5:A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65"/>
  <sheetViews>
    <sheetView topLeftCell="A22" workbookViewId="0">
      <selection activeCell="M47" sqref="M47"/>
    </sheetView>
  </sheetViews>
  <sheetFormatPr defaultColWidth="9.09765625" defaultRowHeight="14" x14ac:dyDescent="0.3"/>
  <cols>
    <col min="1" max="1" width="31.69921875" style="182" bestFit="1" customWidth="1"/>
    <col min="2" max="11" width="16.09765625" style="191" customWidth="1"/>
    <col min="12" max="12" width="0" style="182" hidden="1" customWidth="1"/>
    <col min="13" max="14" width="9.09765625" style="182"/>
    <col min="15" max="15" width="18.69921875" style="182" bestFit="1" customWidth="1"/>
    <col min="16" max="16" width="13.09765625" style="182" bestFit="1" customWidth="1"/>
    <col min="17" max="17" width="36.59765625" style="182" bestFit="1" customWidth="1"/>
    <col min="18" max="16384" width="9.09765625" style="182"/>
  </cols>
  <sheetData>
    <row r="1" spans="1:17" x14ac:dyDescent="0.3">
      <c r="A1" s="177" t="s">
        <v>639</v>
      </c>
      <c r="B1" s="178" t="s">
        <v>640</v>
      </c>
      <c r="C1" s="178"/>
      <c r="D1" s="178"/>
      <c r="E1" s="178"/>
      <c r="F1" s="178"/>
      <c r="G1" s="178"/>
      <c r="H1" s="178" t="s">
        <v>641</v>
      </c>
      <c r="I1" s="178"/>
      <c r="J1" s="178"/>
      <c r="K1" s="178"/>
      <c r="L1" s="179" t="s">
        <v>641</v>
      </c>
      <c r="M1" s="180" t="s">
        <v>640</v>
      </c>
      <c r="N1" s="181" t="s">
        <v>642</v>
      </c>
      <c r="O1" s="182" t="s">
        <v>643</v>
      </c>
      <c r="P1" s="182" t="s">
        <v>644</v>
      </c>
      <c r="Q1" s="182" t="s">
        <v>645</v>
      </c>
    </row>
    <row r="2" spans="1:17" ht="56" x14ac:dyDescent="0.3">
      <c r="A2" s="177" t="s">
        <v>293</v>
      </c>
      <c r="B2" s="178" t="s">
        <v>646</v>
      </c>
      <c r="C2" s="178" t="s">
        <v>647</v>
      </c>
      <c r="D2" s="178" t="s">
        <v>647</v>
      </c>
      <c r="E2" s="178" t="s">
        <v>648</v>
      </c>
      <c r="F2" s="178" t="s">
        <v>649</v>
      </c>
      <c r="G2" s="178" t="s">
        <v>650</v>
      </c>
      <c r="H2" s="178" t="s">
        <v>651</v>
      </c>
      <c r="I2" s="178" t="s">
        <v>652</v>
      </c>
      <c r="J2" s="178" t="s">
        <v>653</v>
      </c>
      <c r="K2" s="178" t="s">
        <v>654</v>
      </c>
      <c r="L2" s="179" t="s">
        <v>655</v>
      </c>
      <c r="M2" s="183" t="s">
        <v>655</v>
      </c>
      <c r="N2" s="181"/>
      <c r="O2" s="184" t="s">
        <v>656</v>
      </c>
      <c r="P2" s="182" t="s">
        <v>657</v>
      </c>
      <c r="Q2" s="182" t="s">
        <v>658</v>
      </c>
    </row>
    <row r="3" spans="1:17" x14ac:dyDescent="0.3">
      <c r="A3" s="185">
        <v>2022</v>
      </c>
      <c r="B3" s="186">
        <v>2.3328240127977691</v>
      </c>
      <c r="C3" s="186">
        <v>3.9151323688293651</v>
      </c>
      <c r="D3" s="186">
        <v>4.452844602037179</v>
      </c>
      <c r="E3" s="187">
        <f>B3*8.78</f>
        <v>20.48219483236441</v>
      </c>
      <c r="F3" s="187">
        <f>C3*8.78</f>
        <v>34.374862198321821</v>
      </c>
      <c r="G3" s="187">
        <f>D3*8.78</f>
        <v>39.09597560588643</v>
      </c>
      <c r="H3" s="186">
        <v>1.6210809852791441</v>
      </c>
      <c r="I3" s="186">
        <v>1.0900000000000001</v>
      </c>
      <c r="J3" s="187">
        <f>H3*7.44</f>
        <v>12.060842530476833</v>
      </c>
      <c r="K3" s="187">
        <f>I3*7.44</f>
        <v>8.1096000000000004</v>
      </c>
      <c r="L3" s="188">
        <f>AVERAGE(J3:K3)</f>
        <v>10.085221265238417</v>
      </c>
      <c r="M3" s="189">
        <f>AVERAGE(E3:F3)</f>
        <v>27.428528515343118</v>
      </c>
      <c r="N3" s="189">
        <v>7.3684210526315796</v>
      </c>
      <c r="O3" s="189">
        <f>M3+N3</f>
        <v>34.7969495679747</v>
      </c>
    </row>
    <row r="4" spans="1:17" x14ac:dyDescent="0.3">
      <c r="A4" s="185">
        <v>2023</v>
      </c>
      <c r="B4" s="190">
        <f>B3-((B$3-B$11)/8)</f>
        <v>2.1919637457245233</v>
      </c>
      <c r="C4" s="190">
        <f t="shared" ref="C4:I10" si="0">C3-((C$3-C$11)/8)</f>
        <v>3.6663877393772895</v>
      </c>
      <c r="D4" s="190">
        <f t="shared" si="0"/>
        <v>3.9861432089076514</v>
      </c>
      <c r="E4" s="187">
        <f t="shared" ref="E4:E31" si="1">B4*8.78</f>
        <v>19.245441687461312</v>
      </c>
      <c r="F4" s="187">
        <f t="shared" ref="F4:F31" si="2">C4*8.78</f>
        <v>32.190884351732599</v>
      </c>
      <c r="G4" s="187">
        <f t="shared" ref="G4:G31" si="3">D4*8.78</f>
        <v>34.998337374209179</v>
      </c>
      <c r="H4" s="190">
        <f t="shared" si="0"/>
        <v>1.6246078780244431</v>
      </c>
      <c r="I4" s="190">
        <f t="shared" si="0"/>
        <v>1.0912500000000001</v>
      </c>
      <c r="J4" s="187">
        <f t="shared" ref="J4:K31" si="4">H4*7.44</f>
        <v>12.087082612501858</v>
      </c>
      <c r="K4" s="187">
        <f t="shared" si="4"/>
        <v>8.1189</v>
      </c>
      <c r="L4" s="188">
        <f t="shared" ref="L4:L31" si="5">AVERAGE(J4:K4)</f>
        <v>10.102991306250928</v>
      </c>
      <c r="M4" s="189">
        <f t="shared" ref="M4:M31" si="6">AVERAGE(E4:F4)</f>
        <v>25.718163019596957</v>
      </c>
      <c r="N4" s="189">
        <v>7.2556390977443614</v>
      </c>
      <c r="O4" s="189">
        <f t="shared" ref="O4:O31" si="7">M4+N4</f>
        <v>32.973802117341322</v>
      </c>
    </row>
    <row r="5" spans="1:17" x14ac:dyDescent="0.3">
      <c r="A5" s="185">
        <v>2024</v>
      </c>
      <c r="B5" s="190">
        <f t="shared" ref="B5:B10" si="8">B4-((B$3-B$11)/8)</f>
        <v>2.0511034786512776</v>
      </c>
      <c r="C5" s="190">
        <f t="shared" si="0"/>
        <v>3.4176431099252138</v>
      </c>
      <c r="D5" s="190">
        <f t="shared" si="0"/>
        <v>3.5194418157781238</v>
      </c>
      <c r="E5" s="187">
        <f t="shared" si="1"/>
        <v>18.008688542558215</v>
      </c>
      <c r="F5" s="187">
        <f t="shared" si="2"/>
        <v>30.006906505143377</v>
      </c>
      <c r="G5" s="187">
        <f t="shared" si="3"/>
        <v>30.900699142531924</v>
      </c>
      <c r="H5" s="190">
        <f t="shared" si="0"/>
        <v>1.628134770769742</v>
      </c>
      <c r="I5" s="190">
        <f t="shared" si="0"/>
        <v>1.0925</v>
      </c>
      <c r="J5" s="187">
        <f t="shared" si="4"/>
        <v>12.113322694526881</v>
      </c>
      <c r="K5" s="187">
        <f t="shared" si="4"/>
        <v>8.1282000000000014</v>
      </c>
      <c r="L5" s="188">
        <f t="shared" si="5"/>
        <v>10.120761347263441</v>
      </c>
      <c r="M5" s="189">
        <f t="shared" si="6"/>
        <v>24.007797523850797</v>
      </c>
      <c r="N5" s="189">
        <v>7.1428571428571432</v>
      </c>
      <c r="O5" s="189">
        <f t="shared" si="7"/>
        <v>31.15065466670794</v>
      </c>
    </row>
    <row r="6" spans="1:17" x14ac:dyDescent="0.3">
      <c r="A6" s="185">
        <v>2025</v>
      </c>
      <c r="B6" s="190">
        <f t="shared" si="8"/>
        <v>1.9102432115780319</v>
      </c>
      <c r="C6" s="190">
        <f t="shared" si="0"/>
        <v>3.1688984804731382</v>
      </c>
      <c r="D6" s="190">
        <f t="shared" si="0"/>
        <v>3.0527404226485961</v>
      </c>
      <c r="E6" s="187">
        <f t="shared" si="1"/>
        <v>16.77193539765512</v>
      </c>
      <c r="F6" s="187">
        <f t="shared" si="2"/>
        <v>27.822928658554151</v>
      </c>
      <c r="G6" s="187">
        <f t="shared" si="3"/>
        <v>26.803060910854672</v>
      </c>
      <c r="H6" s="190">
        <f t="shared" si="0"/>
        <v>1.6316616635150409</v>
      </c>
      <c r="I6" s="190">
        <f t="shared" si="0"/>
        <v>1.09375</v>
      </c>
      <c r="J6" s="187">
        <f t="shared" si="4"/>
        <v>12.139562776551905</v>
      </c>
      <c r="K6" s="187">
        <f t="shared" si="4"/>
        <v>8.1375000000000011</v>
      </c>
      <c r="L6" s="188">
        <f t="shared" si="5"/>
        <v>10.138531388275954</v>
      </c>
      <c r="M6" s="189">
        <f t="shared" si="6"/>
        <v>22.297432028104637</v>
      </c>
      <c r="N6" s="189">
        <v>7.030075187969925</v>
      </c>
      <c r="O6" s="189">
        <f t="shared" si="7"/>
        <v>29.327507216074562</v>
      </c>
    </row>
    <row r="7" spans="1:17" x14ac:dyDescent="0.3">
      <c r="A7" s="185">
        <v>2026</v>
      </c>
      <c r="B7" s="190">
        <f t="shared" si="8"/>
        <v>1.7693829445047862</v>
      </c>
      <c r="C7" s="190">
        <f t="shared" si="0"/>
        <v>2.9201538510210625</v>
      </c>
      <c r="D7" s="190">
        <f t="shared" si="0"/>
        <v>2.5860390295190685</v>
      </c>
      <c r="E7" s="187">
        <f t="shared" si="1"/>
        <v>15.535182252752021</v>
      </c>
      <c r="F7" s="187">
        <f t="shared" si="2"/>
        <v>25.638950811964929</v>
      </c>
      <c r="G7" s="187">
        <f t="shared" si="3"/>
        <v>22.705422679177421</v>
      </c>
      <c r="H7" s="190">
        <f t="shared" si="0"/>
        <v>1.6351885562603399</v>
      </c>
      <c r="I7" s="190">
        <f t="shared" si="0"/>
        <v>1.095</v>
      </c>
      <c r="J7" s="187">
        <f t="shared" si="4"/>
        <v>12.16580285857693</v>
      </c>
      <c r="K7" s="187">
        <f t="shared" si="4"/>
        <v>8.1468000000000007</v>
      </c>
      <c r="L7" s="188">
        <f t="shared" si="5"/>
        <v>10.156301429288465</v>
      </c>
      <c r="M7" s="189">
        <f t="shared" si="6"/>
        <v>20.587066532358474</v>
      </c>
      <c r="N7" s="189">
        <v>6.9172932330827068</v>
      </c>
      <c r="O7" s="189">
        <f t="shared" si="7"/>
        <v>27.50435976544118</v>
      </c>
    </row>
    <row r="8" spans="1:17" x14ac:dyDescent="0.3">
      <c r="A8" s="185">
        <v>2027</v>
      </c>
      <c r="B8" s="190">
        <f t="shared" si="8"/>
        <v>1.6285226774315404</v>
      </c>
      <c r="C8" s="190">
        <f t="shared" si="0"/>
        <v>2.6714092215689869</v>
      </c>
      <c r="D8" s="190">
        <f t="shared" si="0"/>
        <v>2.1193376363895409</v>
      </c>
      <c r="E8" s="187">
        <f t="shared" si="1"/>
        <v>14.298429107848923</v>
      </c>
      <c r="F8" s="187">
        <f t="shared" si="2"/>
        <v>23.454972965375703</v>
      </c>
      <c r="G8" s="187">
        <f t="shared" si="3"/>
        <v>18.607784447500169</v>
      </c>
      <c r="H8" s="190">
        <f t="shared" si="0"/>
        <v>1.6387154490056388</v>
      </c>
      <c r="I8" s="190">
        <f t="shared" si="0"/>
        <v>1.0962499999999999</v>
      </c>
      <c r="J8" s="187">
        <f t="shared" si="4"/>
        <v>12.192042940601953</v>
      </c>
      <c r="K8" s="187">
        <f t="shared" si="4"/>
        <v>8.1561000000000003</v>
      </c>
      <c r="L8" s="188">
        <f t="shared" si="5"/>
        <v>10.174071470300976</v>
      </c>
      <c r="M8" s="189">
        <f t="shared" si="6"/>
        <v>18.876701036612314</v>
      </c>
      <c r="N8" s="189">
        <v>6.8045112781954886</v>
      </c>
      <c r="O8" s="189">
        <f t="shared" si="7"/>
        <v>25.681212314807802</v>
      </c>
    </row>
    <row r="9" spans="1:17" x14ac:dyDescent="0.3">
      <c r="A9" s="185">
        <v>2028</v>
      </c>
      <c r="B9" s="190">
        <f t="shared" si="8"/>
        <v>1.4876624103582947</v>
      </c>
      <c r="C9" s="190">
        <f t="shared" si="0"/>
        <v>2.4226645921169112</v>
      </c>
      <c r="D9" s="190">
        <f t="shared" si="0"/>
        <v>1.652636243260013</v>
      </c>
      <c r="E9" s="187">
        <f t="shared" si="1"/>
        <v>13.061675962945827</v>
      </c>
      <c r="F9" s="187">
        <f t="shared" si="2"/>
        <v>21.27099511878648</v>
      </c>
      <c r="G9" s="187">
        <f t="shared" si="3"/>
        <v>14.510146215822914</v>
      </c>
      <c r="H9" s="190">
        <f t="shared" si="0"/>
        <v>1.6422423417509378</v>
      </c>
      <c r="I9" s="190">
        <f t="shared" si="0"/>
        <v>1.0974999999999999</v>
      </c>
      <c r="J9" s="187">
        <f t="shared" si="4"/>
        <v>12.218283022626977</v>
      </c>
      <c r="K9" s="187">
        <f t="shared" si="4"/>
        <v>8.1654</v>
      </c>
      <c r="L9" s="188">
        <f t="shared" si="5"/>
        <v>10.191841511313488</v>
      </c>
      <c r="M9" s="189">
        <f t="shared" si="6"/>
        <v>17.166335540866154</v>
      </c>
      <c r="N9" s="189">
        <v>6.6917293233082704</v>
      </c>
      <c r="O9" s="189">
        <f t="shared" si="7"/>
        <v>23.858064864174423</v>
      </c>
    </row>
    <row r="10" spans="1:17" x14ac:dyDescent="0.3">
      <c r="A10" s="185">
        <v>2029</v>
      </c>
      <c r="B10" s="190">
        <f t="shared" si="8"/>
        <v>1.346802143285049</v>
      </c>
      <c r="C10" s="190">
        <f t="shared" si="0"/>
        <v>2.1739199626648356</v>
      </c>
      <c r="D10" s="190">
        <f t="shared" si="0"/>
        <v>1.1859348501304852</v>
      </c>
      <c r="E10" s="187">
        <f t="shared" si="1"/>
        <v>11.824922818042729</v>
      </c>
      <c r="F10" s="187">
        <f t="shared" si="2"/>
        <v>19.087017272197254</v>
      </c>
      <c r="G10" s="187">
        <f t="shared" si="3"/>
        <v>10.412507984145659</v>
      </c>
      <c r="H10" s="190">
        <f t="shared" si="0"/>
        <v>1.6457692344962367</v>
      </c>
      <c r="I10" s="190">
        <f t="shared" si="0"/>
        <v>1.0987499999999999</v>
      </c>
      <c r="J10" s="187">
        <f t="shared" si="4"/>
        <v>12.244523104652002</v>
      </c>
      <c r="K10" s="187">
        <f t="shared" si="4"/>
        <v>8.1746999999999996</v>
      </c>
      <c r="L10" s="188">
        <f t="shared" si="5"/>
        <v>10.209611552326001</v>
      </c>
      <c r="M10" s="189">
        <f t="shared" si="6"/>
        <v>15.455970045119992</v>
      </c>
      <c r="N10" s="189">
        <v>6.5789473684210522</v>
      </c>
      <c r="O10" s="189">
        <f t="shared" si="7"/>
        <v>22.034917413541045</v>
      </c>
    </row>
    <row r="11" spans="1:17" x14ac:dyDescent="0.3">
      <c r="A11" s="185">
        <v>2030</v>
      </c>
      <c r="B11" s="186">
        <v>1.2059418762118035</v>
      </c>
      <c r="C11" s="186">
        <v>1.9251753332127595</v>
      </c>
      <c r="D11" s="186">
        <v>0.71923345700095598</v>
      </c>
      <c r="E11" s="187">
        <f t="shared" si="1"/>
        <v>10.588169673139634</v>
      </c>
      <c r="F11" s="187">
        <f t="shared" si="2"/>
        <v>16.903039425608029</v>
      </c>
      <c r="G11" s="187">
        <f t="shared" si="3"/>
        <v>6.3148697524683932</v>
      </c>
      <c r="H11" s="186">
        <v>1.6492961272415347</v>
      </c>
      <c r="I11" s="186">
        <v>1.1000000000000001</v>
      </c>
      <c r="J11" s="187">
        <f t="shared" si="4"/>
        <v>12.270763186677019</v>
      </c>
      <c r="K11" s="187">
        <f t="shared" si="4"/>
        <v>8.1840000000000011</v>
      </c>
      <c r="L11" s="188">
        <f t="shared" si="5"/>
        <v>10.22738159333851</v>
      </c>
      <c r="M11" s="189">
        <f t="shared" si="6"/>
        <v>13.74560454937383</v>
      </c>
      <c r="N11" s="189">
        <v>6.466165413533834</v>
      </c>
      <c r="O11" s="189">
        <f t="shared" si="7"/>
        <v>20.211769962907663</v>
      </c>
    </row>
    <row r="12" spans="1:17" x14ac:dyDescent="0.3">
      <c r="A12" s="185">
        <v>2031</v>
      </c>
      <c r="B12" s="190">
        <f>B11-((B$11-B$31)/20)</f>
        <v>1.1789113219830878</v>
      </c>
      <c r="C12" s="190">
        <f t="shared" ref="C12:I27" si="9">C11-((C$11-C$31)/20)</f>
        <v>1.8650986883911815</v>
      </c>
      <c r="D12" s="190">
        <f t="shared" si="9"/>
        <v>0.68618736640809375</v>
      </c>
      <c r="E12" s="187">
        <f t="shared" si="1"/>
        <v>10.35084140701151</v>
      </c>
      <c r="F12" s="187">
        <f t="shared" si="2"/>
        <v>16.375566484074572</v>
      </c>
      <c r="G12" s="187">
        <f t="shared" si="3"/>
        <v>6.0247250770630627</v>
      </c>
      <c r="H12" s="190">
        <f t="shared" si="9"/>
        <v>1.6530006214250261</v>
      </c>
      <c r="I12" s="190">
        <f t="shared" si="9"/>
        <v>1.0920000000000001</v>
      </c>
      <c r="J12" s="187">
        <f t="shared" si="4"/>
        <v>12.298324623402195</v>
      </c>
      <c r="K12" s="187">
        <f t="shared" si="4"/>
        <v>8.1244800000000019</v>
      </c>
      <c r="L12" s="188">
        <f t="shared" si="5"/>
        <v>10.211402311701098</v>
      </c>
      <c r="M12" s="189">
        <f t="shared" si="6"/>
        <v>13.363203945543042</v>
      </c>
      <c r="N12" s="189">
        <v>6.3533834586466158</v>
      </c>
      <c r="O12" s="189">
        <f t="shared" si="7"/>
        <v>19.716587404189656</v>
      </c>
    </row>
    <row r="13" spans="1:17" x14ac:dyDescent="0.3">
      <c r="A13" s="185">
        <v>2032</v>
      </c>
      <c r="B13" s="190">
        <f t="shared" ref="B13:I28" si="10">B12-((B$11-B$31)/20)</f>
        <v>1.1518807677543721</v>
      </c>
      <c r="C13" s="190">
        <f t="shared" si="9"/>
        <v>1.8050220435696036</v>
      </c>
      <c r="D13" s="190">
        <f t="shared" si="9"/>
        <v>0.65314127581523151</v>
      </c>
      <c r="E13" s="187">
        <f t="shared" si="1"/>
        <v>10.113513140883386</v>
      </c>
      <c r="F13" s="187">
        <f t="shared" si="2"/>
        <v>15.848093542541118</v>
      </c>
      <c r="G13" s="187">
        <f t="shared" si="3"/>
        <v>5.7345804016577322</v>
      </c>
      <c r="H13" s="190">
        <f t="shared" si="9"/>
        <v>1.6567051156085175</v>
      </c>
      <c r="I13" s="190">
        <f t="shared" si="9"/>
        <v>1.0840000000000001</v>
      </c>
      <c r="J13" s="187">
        <f t="shared" si="4"/>
        <v>12.32588606012737</v>
      </c>
      <c r="K13" s="187">
        <f t="shared" si="4"/>
        <v>8.064960000000001</v>
      </c>
      <c r="L13" s="188">
        <f t="shared" si="5"/>
        <v>10.195423030063687</v>
      </c>
      <c r="M13" s="189">
        <f t="shared" si="6"/>
        <v>12.980803341712253</v>
      </c>
      <c r="N13" s="189">
        <v>6.2406015037593976</v>
      </c>
      <c r="O13" s="189">
        <f t="shared" si="7"/>
        <v>19.22140484547165</v>
      </c>
    </row>
    <row r="14" spans="1:17" x14ac:dyDescent="0.3">
      <c r="A14" s="185">
        <v>2033</v>
      </c>
      <c r="B14" s="190">
        <f t="shared" si="10"/>
        <v>1.1248502135256564</v>
      </c>
      <c r="C14" s="190">
        <f t="shared" si="9"/>
        <v>1.7449453987480257</v>
      </c>
      <c r="D14" s="190">
        <f t="shared" si="9"/>
        <v>0.62009518522236928</v>
      </c>
      <c r="E14" s="187">
        <f t="shared" si="1"/>
        <v>9.8761848747552623</v>
      </c>
      <c r="F14" s="187">
        <f t="shared" si="2"/>
        <v>15.320620601007665</v>
      </c>
      <c r="G14" s="187">
        <f t="shared" si="3"/>
        <v>5.4444357262524017</v>
      </c>
      <c r="H14" s="190">
        <f t="shared" si="9"/>
        <v>1.6604096097920089</v>
      </c>
      <c r="I14" s="190">
        <f t="shared" si="9"/>
        <v>1.0760000000000001</v>
      </c>
      <c r="J14" s="187">
        <f t="shared" si="4"/>
        <v>12.353447496852548</v>
      </c>
      <c r="K14" s="187">
        <f t="shared" si="4"/>
        <v>8.0054400000000001</v>
      </c>
      <c r="L14" s="188">
        <f t="shared" si="5"/>
        <v>10.179443748426273</v>
      </c>
      <c r="M14" s="189">
        <f t="shared" si="6"/>
        <v>12.598402737881464</v>
      </c>
      <c r="N14" s="189">
        <v>6.1278195488721794</v>
      </c>
      <c r="O14" s="189">
        <f t="shared" si="7"/>
        <v>18.726222286753643</v>
      </c>
    </row>
    <row r="15" spans="1:17" x14ac:dyDescent="0.3">
      <c r="A15" s="185">
        <v>2034</v>
      </c>
      <c r="B15" s="190">
        <f t="shared" si="10"/>
        <v>1.0978196592969407</v>
      </c>
      <c r="C15" s="190">
        <f t="shared" si="9"/>
        <v>1.6848687539264477</v>
      </c>
      <c r="D15" s="190">
        <f t="shared" si="9"/>
        <v>0.58704909462950705</v>
      </c>
      <c r="E15" s="187">
        <f t="shared" si="1"/>
        <v>9.6388566086271386</v>
      </c>
      <c r="F15" s="187">
        <f t="shared" si="2"/>
        <v>14.79314765947421</v>
      </c>
      <c r="G15" s="187">
        <f t="shared" si="3"/>
        <v>5.1542910508470712</v>
      </c>
      <c r="H15" s="190">
        <f t="shared" si="9"/>
        <v>1.6641141039755003</v>
      </c>
      <c r="I15" s="190">
        <f t="shared" si="9"/>
        <v>1.0680000000000001</v>
      </c>
      <c r="J15" s="187">
        <f t="shared" si="4"/>
        <v>12.381008933577723</v>
      </c>
      <c r="K15" s="187">
        <f t="shared" si="4"/>
        <v>7.945920000000001</v>
      </c>
      <c r="L15" s="188">
        <f t="shared" si="5"/>
        <v>10.163464466788863</v>
      </c>
      <c r="M15" s="189">
        <f t="shared" si="6"/>
        <v>12.216002134050674</v>
      </c>
      <c r="N15" s="189">
        <v>6.0150375939849612</v>
      </c>
      <c r="O15" s="189">
        <f t="shared" si="7"/>
        <v>18.231039728035636</v>
      </c>
    </row>
    <row r="16" spans="1:17" x14ac:dyDescent="0.3">
      <c r="A16" s="185">
        <v>2035</v>
      </c>
      <c r="B16" s="190">
        <f t="shared" si="10"/>
        <v>1.070789105068225</v>
      </c>
      <c r="C16" s="190">
        <f t="shared" si="9"/>
        <v>1.6247921091048698</v>
      </c>
      <c r="D16" s="190">
        <f t="shared" si="9"/>
        <v>0.55400300403664482</v>
      </c>
      <c r="E16" s="187">
        <f t="shared" si="1"/>
        <v>9.4015283424990148</v>
      </c>
      <c r="F16" s="187">
        <f t="shared" si="2"/>
        <v>14.265674717940756</v>
      </c>
      <c r="G16" s="187">
        <f t="shared" si="3"/>
        <v>4.8641463754417416</v>
      </c>
      <c r="H16" s="190">
        <f t="shared" si="9"/>
        <v>1.6678185981589917</v>
      </c>
      <c r="I16" s="190">
        <f t="shared" si="9"/>
        <v>1.06</v>
      </c>
      <c r="J16" s="187">
        <f t="shared" si="4"/>
        <v>12.408570370302899</v>
      </c>
      <c r="K16" s="187">
        <f t="shared" si="4"/>
        <v>7.886400000000001</v>
      </c>
      <c r="L16" s="188">
        <f t="shared" si="5"/>
        <v>10.147485185151449</v>
      </c>
      <c r="M16" s="189">
        <f t="shared" si="6"/>
        <v>11.833601530219886</v>
      </c>
      <c r="N16" s="189">
        <v>5.902255639097743</v>
      </c>
      <c r="O16" s="189">
        <f t="shared" si="7"/>
        <v>17.735857169317629</v>
      </c>
    </row>
    <row r="17" spans="1:15" x14ac:dyDescent="0.3">
      <c r="A17" s="185">
        <v>2036</v>
      </c>
      <c r="B17" s="190">
        <f t="shared" si="10"/>
        <v>1.0437585508395093</v>
      </c>
      <c r="C17" s="190">
        <f t="shared" si="9"/>
        <v>1.5647154642832919</v>
      </c>
      <c r="D17" s="190">
        <f t="shared" si="9"/>
        <v>0.52095691344378259</v>
      </c>
      <c r="E17" s="187">
        <f t="shared" si="1"/>
        <v>9.1642000763708911</v>
      </c>
      <c r="F17" s="187">
        <f t="shared" si="2"/>
        <v>13.738201776407301</v>
      </c>
      <c r="G17" s="187">
        <f t="shared" si="3"/>
        <v>4.574001700036411</v>
      </c>
      <c r="H17" s="190">
        <f t="shared" si="9"/>
        <v>1.6715230923424831</v>
      </c>
      <c r="I17" s="190">
        <f t="shared" si="9"/>
        <v>1.052</v>
      </c>
      <c r="J17" s="187">
        <f t="shared" si="4"/>
        <v>12.436131807028074</v>
      </c>
      <c r="K17" s="187">
        <f t="shared" si="4"/>
        <v>7.8268800000000009</v>
      </c>
      <c r="L17" s="188">
        <f t="shared" si="5"/>
        <v>10.131505903514038</v>
      </c>
      <c r="M17" s="189">
        <f t="shared" si="6"/>
        <v>11.451200926389095</v>
      </c>
      <c r="N17" s="189">
        <v>5.7894736842105248</v>
      </c>
      <c r="O17" s="189">
        <f t="shared" si="7"/>
        <v>17.240674610599619</v>
      </c>
    </row>
    <row r="18" spans="1:15" x14ac:dyDescent="0.3">
      <c r="A18" s="185">
        <v>2037</v>
      </c>
      <c r="B18" s="190">
        <f t="shared" si="10"/>
        <v>1.0167279966107936</v>
      </c>
      <c r="C18" s="190">
        <f t="shared" si="9"/>
        <v>1.504638819461714</v>
      </c>
      <c r="D18" s="190">
        <f t="shared" si="9"/>
        <v>0.48791082285092036</v>
      </c>
      <c r="E18" s="187">
        <f t="shared" si="1"/>
        <v>8.9268718102427673</v>
      </c>
      <c r="F18" s="187">
        <f t="shared" si="2"/>
        <v>13.210728834873848</v>
      </c>
      <c r="G18" s="187">
        <f t="shared" si="3"/>
        <v>4.2838570246310805</v>
      </c>
      <c r="H18" s="190">
        <f t="shared" si="9"/>
        <v>1.6752275865259745</v>
      </c>
      <c r="I18" s="190">
        <f t="shared" si="9"/>
        <v>1.044</v>
      </c>
      <c r="J18" s="187">
        <f t="shared" si="4"/>
        <v>12.463693243753251</v>
      </c>
      <c r="K18" s="187">
        <f t="shared" si="4"/>
        <v>7.7673600000000009</v>
      </c>
      <c r="L18" s="188">
        <f t="shared" si="5"/>
        <v>10.115526621876626</v>
      </c>
      <c r="M18" s="189">
        <f t="shared" si="6"/>
        <v>11.068800322558307</v>
      </c>
      <c r="N18" s="189">
        <v>5.6766917293233066</v>
      </c>
      <c r="O18" s="189">
        <f t="shared" si="7"/>
        <v>16.745492051881612</v>
      </c>
    </row>
    <row r="19" spans="1:15" x14ac:dyDescent="0.3">
      <c r="A19" s="185">
        <v>2038</v>
      </c>
      <c r="B19" s="190">
        <f t="shared" si="10"/>
        <v>0.98969744238207791</v>
      </c>
      <c r="C19" s="190">
        <f t="shared" si="9"/>
        <v>1.444562174640136</v>
      </c>
      <c r="D19" s="190">
        <f t="shared" si="9"/>
        <v>0.45486473225805812</v>
      </c>
      <c r="E19" s="187">
        <f t="shared" si="1"/>
        <v>8.6895435441146436</v>
      </c>
      <c r="F19" s="187">
        <f t="shared" si="2"/>
        <v>12.683255893340393</v>
      </c>
      <c r="G19" s="187">
        <f t="shared" si="3"/>
        <v>3.99371234922575</v>
      </c>
      <c r="H19" s="190">
        <f t="shared" si="9"/>
        <v>1.6789320807094659</v>
      </c>
      <c r="I19" s="190">
        <f t="shared" si="9"/>
        <v>1.036</v>
      </c>
      <c r="J19" s="187">
        <f t="shared" si="4"/>
        <v>12.491254680478427</v>
      </c>
      <c r="K19" s="187">
        <f t="shared" si="4"/>
        <v>7.7078400000000009</v>
      </c>
      <c r="L19" s="188">
        <f t="shared" si="5"/>
        <v>10.099547340239214</v>
      </c>
      <c r="M19" s="189">
        <f t="shared" si="6"/>
        <v>10.686399718727518</v>
      </c>
      <c r="N19" s="189">
        <v>5.5639097744360884</v>
      </c>
      <c r="O19" s="189">
        <f t="shared" si="7"/>
        <v>16.250309493163606</v>
      </c>
    </row>
    <row r="20" spans="1:15" x14ac:dyDescent="0.3">
      <c r="A20" s="185">
        <v>2039</v>
      </c>
      <c r="B20" s="190">
        <f t="shared" si="10"/>
        <v>0.96266688815336221</v>
      </c>
      <c r="C20" s="190">
        <f t="shared" si="9"/>
        <v>1.3844855298185581</v>
      </c>
      <c r="D20" s="190">
        <f t="shared" si="9"/>
        <v>0.42181864166519589</v>
      </c>
      <c r="E20" s="187">
        <f t="shared" si="1"/>
        <v>8.4522152779865198</v>
      </c>
      <c r="F20" s="187">
        <f t="shared" si="2"/>
        <v>12.155782951806939</v>
      </c>
      <c r="G20" s="187">
        <f t="shared" si="3"/>
        <v>3.7035676738204195</v>
      </c>
      <c r="H20" s="190">
        <f t="shared" si="9"/>
        <v>1.6826365748929573</v>
      </c>
      <c r="I20" s="190">
        <f t="shared" si="9"/>
        <v>1.028</v>
      </c>
      <c r="J20" s="187">
        <f t="shared" si="4"/>
        <v>12.518816117203603</v>
      </c>
      <c r="K20" s="187">
        <f t="shared" si="4"/>
        <v>7.6483200000000009</v>
      </c>
      <c r="L20" s="188">
        <f t="shared" si="5"/>
        <v>10.083568058601802</v>
      </c>
      <c r="M20" s="189">
        <f t="shared" si="6"/>
        <v>10.30399911489673</v>
      </c>
      <c r="N20" s="189">
        <v>5.4511278195488702</v>
      </c>
      <c r="O20" s="189">
        <f t="shared" si="7"/>
        <v>15.755126934445599</v>
      </c>
    </row>
    <row r="21" spans="1:15" x14ac:dyDescent="0.3">
      <c r="A21" s="185">
        <v>2040</v>
      </c>
      <c r="B21" s="190">
        <f t="shared" si="10"/>
        <v>0.93563633392464651</v>
      </c>
      <c r="C21" s="190">
        <f t="shared" si="9"/>
        <v>1.3244088849969802</v>
      </c>
      <c r="D21" s="190">
        <f t="shared" si="9"/>
        <v>0.38877255107233366</v>
      </c>
      <c r="E21" s="187">
        <f t="shared" si="1"/>
        <v>8.2148870118583961</v>
      </c>
      <c r="F21" s="187">
        <f t="shared" si="2"/>
        <v>11.628310010273484</v>
      </c>
      <c r="G21" s="187">
        <f t="shared" si="3"/>
        <v>3.4134229984150894</v>
      </c>
      <c r="H21" s="190">
        <f t="shared" si="9"/>
        <v>1.6863410690764487</v>
      </c>
      <c r="I21" s="190">
        <f t="shared" si="9"/>
        <v>1.02</v>
      </c>
      <c r="J21" s="187">
        <f t="shared" si="4"/>
        <v>12.546377553928778</v>
      </c>
      <c r="K21" s="187">
        <f t="shared" si="4"/>
        <v>7.5888000000000009</v>
      </c>
      <c r="L21" s="188">
        <f t="shared" si="5"/>
        <v>10.067588776964389</v>
      </c>
      <c r="M21" s="189">
        <f t="shared" si="6"/>
        <v>9.921598511065941</v>
      </c>
      <c r="N21" s="189">
        <v>5.338345864661652</v>
      </c>
      <c r="O21" s="189">
        <f t="shared" si="7"/>
        <v>15.259944375727592</v>
      </c>
    </row>
    <row r="22" spans="1:15" x14ac:dyDescent="0.3">
      <c r="A22" s="185">
        <v>2041</v>
      </c>
      <c r="B22" s="190">
        <f t="shared" si="10"/>
        <v>0.90860577969593082</v>
      </c>
      <c r="C22" s="190">
        <f t="shared" si="9"/>
        <v>1.2643322401754022</v>
      </c>
      <c r="D22" s="190">
        <f t="shared" si="9"/>
        <v>0.35572646047947143</v>
      </c>
      <c r="E22" s="187">
        <f t="shared" si="1"/>
        <v>7.9775587457302723</v>
      </c>
      <c r="F22" s="187">
        <f t="shared" si="2"/>
        <v>11.100837068740031</v>
      </c>
      <c r="G22" s="187">
        <f t="shared" si="3"/>
        <v>3.1232783230097589</v>
      </c>
      <c r="H22" s="190">
        <f t="shared" si="9"/>
        <v>1.69004556325994</v>
      </c>
      <c r="I22" s="190">
        <f t="shared" si="9"/>
        <v>1.012</v>
      </c>
      <c r="J22" s="187">
        <f t="shared" si="4"/>
        <v>12.573938990653955</v>
      </c>
      <c r="K22" s="187">
        <f t="shared" si="4"/>
        <v>7.5292800000000009</v>
      </c>
      <c r="L22" s="188">
        <f t="shared" si="5"/>
        <v>10.051609495326979</v>
      </c>
      <c r="M22" s="189">
        <f t="shared" si="6"/>
        <v>9.5391979072351525</v>
      </c>
      <c r="N22" s="189">
        <v>5.2255639097744337</v>
      </c>
      <c r="O22" s="189">
        <f t="shared" si="7"/>
        <v>14.764761817009585</v>
      </c>
    </row>
    <row r="23" spans="1:15" x14ac:dyDescent="0.3">
      <c r="A23" s="185">
        <v>2042</v>
      </c>
      <c r="B23" s="190">
        <f t="shared" si="10"/>
        <v>0.88157522546721512</v>
      </c>
      <c r="C23" s="190">
        <f t="shared" si="9"/>
        <v>1.2042555953538243</v>
      </c>
      <c r="D23" s="190">
        <f t="shared" si="9"/>
        <v>0.3226803698866092</v>
      </c>
      <c r="E23" s="187">
        <f t="shared" si="1"/>
        <v>7.7402304796021486</v>
      </c>
      <c r="F23" s="187">
        <f t="shared" si="2"/>
        <v>10.573364127206577</v>
      </c>
      <c r="G23" s="187">
        <f t="shared" si="3"/>
        <v>2.8331336476044284</v>
      </c>
      <c r="H23" s="190">
        <f t="shared" si="9"/>
        <v>1.6937500574434314</v>
      </c>
      <c r="I23" s="190">
        <f t="shared" si="9"/>
        <v>1.004</v>
      </c>
      <c r="J23" s="187">
        <f t="shared" si="4"/>
        <v>12.601500427379131</v>
      </c>
      <c r="K23" s="187">
        <f t="shared" si="4"/>
        <v>7.4697600000000008</v>
      </c>
      <c r="L23" s="188">
        <f t="shared" si="5"/>
        <v>10.035630213689565</v>
      </c>
      <c r="M23" s="189">
        <f t="shared" si="6"/>
        <v>9.1567973034043639</v>
      </c>
      <c r="N23" s="189">
        <v>5.1127819548872155</v>
      </c>
      <c r="O23" s="189">
        <f t="shared" si="7"/>
        <v>14.269579258291579</v>
      </c>
    </row>
    <row r="24" spans="1:15" x14ac:dyDescent="0.3">
      <c r="A24" s="185">
        <v>2043</v>
      </c>
      <c r="B24" s="190">
        <f t="shared" si="10"/>
        <v>0.85454467123849942</v>
      </c>
      <c r="C24" s="190">
        <f t="shared" si="9"/>
        <v>1.1441789505322464</v>
      </c>
      <c r="D24" s="190">
        <f t="shared" si="9"/>
        <v>0.28963427929374697</v>
      </c>
      <c r="E24" s="187">
        <f t="shared" si="1"/>
        <v>7.502902213474024</v>
      </c>
      <c r="F24" s="187">
        <f t="shared" si="2"/>
        <v>10.045891185673122</v>
      </c>
      <c r="G24" s="187">
        <f t="shared" si="3"/>
        <v>2.5429889721990984</v>
      </c>
      <c r="H24" s="190">
        <f t="shared" si="9"/>
        <v>1.6974545516269228</v>
      </c>
      <c r="I24" s="190">
        <f t="shared" si="9"/>
        <v>0.996</v>
      </c>
      <c r="J24" s="187">
        <f t="shared" si="4"/>
        <v>12.629061864104306</v>
      </c>
      <c r="K24" s="187">
        <f t="shared" si="4"/>
        <v>7.4102399999999999</v>
      </c>
      <c r="L24" s="188">
        <f t="shared" si="5"/>
        <v>10.019650932052153</v>
      </c>
      <c r="M24" s="189">
        <f t="shared" si="6"/>
        <v>8.7743966995735736</v>
      </c>
      <c r="N24" s="189">
        <v>4.9999999999999973</v>
      </c>
      <c r="O24" s="189">
        <f t="shared" si="7"/>
        <v>13.774396699573572</v>
      </c>
    </row>
    <row r="25" spans="1:15" x14ac:dyDescent="0.3">
      <c r="A25" s="185">
        <v>2044</v>
      </c>
      <c r="B25" s="190">
        <f t="shared" si="10"/>
        <v>0.82751411700978372</v>
      </c>
      <c r="C25" s="190">
        <f t="shared" si="9"/>
        <v>1.0841023057106685</v>
      </c>
      <c r="D25" s="190">
        <f t="shared" si="9"/>
        <v>0.25658818870088473</v>
      </c>
      <c r="E25" s="187">
        <f t="shared" si="1"/>
        <v>7.2655739473459002</v>
      </c>
      <c r="F25" s="187">
        <f t="shared" si="2"/>
        <v>9.518418244139669</v>
      </c>
      <c r="G25" s="187">
        <f t="shared" si="3"/>
        <v>2.2528442967937679</v>
      </c>
      <c r="H25" s="190">
        <f t="shared" si="9"/>
        <v>1.7011590458104142</v>
      </c>
      <c r="I25" s="190">
        <f t="shared" si="9"/>
        <v>0.98799999999999999</v>
      </c>
      <c r="J25" s="187">
        <f t="shared" si="4"/>
        <v>12.656623300829482</v>
      </c>
      <c r="K25" s="187">
        <f t="shared" si="4"/>
        <v>7.3507199999999999</v>
      </c>
      <c r="L25" s="188">
        <f t="shared" si="5"/>
        <v>10.003671650414741</v>
      </c>
      <c r="M25" s="189">
        <f t="shared" si="6"/>
        <v>8.391996095742785</v>
      </c>
      <c r="N25" s="189">
        <v>4.8872180451127791</v>
      </c>
      <c r="O25" s="189">
        <f t="shared" si="7"/>
        <v>13.279214140855565</v>
      </c>
    </row>
    <row r="26" spans="1:15" x14ac:dyDescent="0.3">
      <c r="A26" s="185">
        <v>2045</v>
      </c>
      <c r="B26" s="190">
        <f t="shared" si="10"/>
        <v>0.80048356278106803</v>
      </c>
      <c r="C26" s="190">
        <f t="shared" si="9"/>
        <v>1.0240256608890905</v>
      </c>
      <c r="D26" s="190">
        <f t="shared" si="9"/>
        <v>0.2235420981080225</v>
      </c>
      <c r="E26" s="187">
        <f t="shared" si="1"/>
        <v>7.0282456812177765</v>
      </c>
      <c r="F26" s="187">
        <f t="shared" si="2"/>
        <v>8.9909453026062138</v>
      </c>
      <c r="G26" s="187">
        <f t="shared" si="3"/>
        <v>1.9626996213884373</v>
      </c>
      <c r="H26" s="190">
        <f t="shared" si="9"/>
        <v>1.7048635399939056</v>
      </c>
      <c r="I26" s="190">
        <f t="shared" si="9"/>
        <v>0.98</v>
      </c>
      <c r="J26" s="187">
        <f t="shared" si="4"/>
        <v>12.684184737554659</v>
      </c>
      <c r="K26" s="187">
        <f t="shared" si="4"/>
        <v>7.2911999999999999</v>
      </c>
      <c r="L26" s="188">
        <f t="shared" si="5"/>
        <v>9.9876923687773296</v>
      </c>
      <c r="M26" s="189">
        <f t="shared" si="6"/>
        <v>8.0095954919119947</v>
      </c>
      <c r="N26" s="189">
        <v>4.7744360902255609</v>
      </c>
      <c r="O26" s="189">
        <f t="shared" si="7"/>
        <v>12.784031582137555</v>
      </c>
    </row>
    <row r="27" spans="1:15" x14ac:dyDescent="0.3">
      <c r="A27" s="185">
        <v>2046</v>
      </c>
      <c r="B27" s="190">
        <f t="shared" si="10"/>
        <v>0.77345300855235233</v>
      </c>
      <c r="C27" s="190">
        <f t="shared" si="9"/>
        <v>0.9639490160675126</v>
      </c>
      <c r="D27" s="190">
        <f t="shared" si="9"/>
        <v>0.19049600751516027</v>
      </c>
      <c r="E27" s="187">
        <f t="shared" si="1"/>
        <v>6.7909174150896527</v>
      </c>
      <c r="F27" s="187">
        <f t="shared" si="2"/>
        <v>8.4634723610727605</v>
      </c>
      <c r="G27" s="187">
        <f t="shared" si="3"/>
        <v>1.6725549459831071</v>
      </c>
      <c r="H27" s="190">
        <f t="shared" si="9"/>
        <v>1.708568034177397</v>
      </c>
      <c r="I27" s="190">
        <f t="shared" si="9"/>
        <v>0.97199999999999998</v>
      </c>
      <c r="J27" s="187">
        <f t="shared" si="4"/>
        <v>12.711746174279835</v>
      </c>
      <c r="K27" s="187">
        <f t="shared" si="4"/>
        <v>7.2316799999999999</v>
      </c>
      <c r="L27" s="188">
        <f t="shared" si="5"/>
        <v>9.9717130871399178</v>
      </c>
      <c r="M27" s="189">
        <f t="shared" si="6"/>
        <v>7.6271948880812062</v>
      </c>
      <c r="N27" s="189">
        <v>4.6616541353383427</v>
      </c>
      <c r="O27" s="189">
        <f t="shared" si="7"/>
        <v>12.288849023419548</v>
      </c>
    </row>
    <row r="28" spans="1:15" x14ac:dyDescent="0.3">
      <c r="A28" s="185">
        <v>2047</v>
      </c>
      <c r="B28" s="190">
        <f t="shared" si="10"/>
        <v>0.74642245432363663</v>
      </c>
      <c r="C28" s="190">
        <f t="shared" si="10"/>
        <v>0.90387237124593467</v>
      </c>
      <c r="D28" s="190">
        <f t="shared" si="10"/>
        <v>0.15744991692229804</v>
      </c>
      <c r="E28" s="187">
        <f t="shared" si="1"/>
        <v>6.553589148961529</v>
      </c>
      <c r="F28" s="187">
        <f t="shared" si="2"/>
        <v>7.9359994195393062</v>
      </c>
      <c r="G28" s="187">
        <f t="shared" si="3"/>
        <v>1.3824102705777768</v>
      </c>
      <c r="H28" s="190">
        <f t="shared" si="10"/>
        <v>1.7122725283608884</v>
      </c>
      <c r="I28" s="190">
        <f t="shared" si="10"/>
        <v>0.96399999999999997</v>
      </c>
      <c r="J28" s="187">
        <f t="shared" si="4"/>
        <v>12.73930761100501</v>
      </c>
      <c r="K28" s="187">
        <f t="shared" si="4"/>
        <v>7.1721599999999999</v>
      </c>
      <c r="L28" s="188">
        <f t="shared" si="5"/>
        <v>9.9557338055025042</v>
      </c>
      <c r="M28" s="189">
        <f t="shared" si="6"/>
        <v>7.2447942842504176</v>
      </c>
      <c r="N28" s="189">
        <v>4.5488721804511245</v>
      </c>
      <c r="O28" s="189">
        <f t="shared" si="7"/>
        <v>11.793666464701541</v>
      </c>
    </row>
    <row r="29" spans="1:15" x14ac:dyDescent="0.3">
      <c r="A29" s="185">
        <v>2048</v>
      </c>
      <c r="B29" s="190">
        <f t="shared" ref="B29:I30" si="11">B28-((B$11-B$31)/20)</f>
        <v>0.71939190009492093</v>
      </c>
      <c r="C29" s="190">
        <f t="shared" si="11"/>
        <v>0.84379572642435674</v>
      </c>
      <c r="D29" s="190">
        <f t="shared" si="11"/>
        <v>0.12440382632943581</v>
      </c>
      <c r="E29" s="187">
        <f t="shared" si="1"/>
        <v>6.3162608828334053</v>
      </c>
      <c r="F29" s="187">
        <f t="shared" si="2"/>
        <v>7.408526478005852</v>
      </c>
      <c r="G29" s="187">
        <f t="shared" si="3"/>
        <v>1.0922655951724463</v>
      </c>
      <c r="H29" s="190">
        <f t="shared" si="11"/>
        <v>1.7159770225443798</v>
      </c>
      <c r="I29" s="190">
        <f t="shared" si="11"/>
        <v>0.95599999999999996</v>
      </c>
      <c r="J29" s="187">
        <f t="shared" si="4"/>
        <v>12.766869047730186</v>
      </c>
      <c r="K29" s="187">
        <f t="shared" si="4"/>
        <v>7.1126399999999999</v>
      </c>
      <c r="L29" s="188">
        <f t="shared" si="5"/>
        <v>9.9397545238650924</v>
      </c>
      <c r="M29" s="189">
        <f t="shared" si="6"/>
        <v>6.862393680419629</v>
      </c>
      <c r="N29" s="189">
        <v>4.4360902255639063</v>
      </c>
      <c r="O29" s="189">
        <f t="shared" si="7"/>
        <v>11.298483905983534</v>
      </c>
    </row>
    <row r="30" spans="1:15" x14ac:dyDescent="0.3">
      <c r="A30" s="185">
        <v>2049</v>
      </c>
      <c r="B30" s="190">
        <f t="shared" si="11"/>
        <v>0.69236134586620524</v>
      </c>
      <c r="C30" s="190">
        <f t="shared" si="11"/>
        <v>0.78371908160277881</v>
      </c>
      <c r="D30" s="190">
        <f t="shared" si="11"/>
        <v>9.1357735736573575E-2</v>
      </c>
      <c r="E30" s="187">
        <f t="shared" si="1"/>
        <v>6.0789326167052815</v>
      </c>
      <c r="F30" s="187">
        <f t="shared" si="2"/>
        <v>6.8810535364723977</v>
      </c>
      <c r="G30" s="187">
        <f t="shared" si="3"/>
        <v>0.80212091976711597</v>
      </c>
      <c r="H30" s="190">
        <f t="shared" si="11"/>
        <v>1.7196815167278712</v>
      </c>
      <c r="I30" s="190">
        <f t="shared" si="11"/>
        <v>0.94799999999999995</v>
      </c>
      <c r="J30" s="187">
        <f t="shared" si="4"/>
        <v>12.794430484455361</v>
      </c>
      <c r="K30" s="187">
        <f t="shared" si="4"/>
        <v>7.0531199999999998</v>
      </c>
      <c r="L30" s="188">
        <f t="shared" si="5"/>
        <v>9.9237752422276806</v>
      </c>
      <c r="M30" s="189">
        <f t="shared" si="6"/>
        <v>6.4799930765888396</v>
      </c>
      <c r="N30" s="189">
        <v>4.3233082706766881</v>
      </c>
      <c r="O30" s="189">
        <f t="shared" si="7"/>
        <v>10.803301347265528</v>
      </c>
    </row>
    <row r="31" spans="1:15" x14ac:dyDescent="0.3">
      <c r="A31" s="185">
        <v>2050</v>
      </c>
      <c r="B31" s="186">
        <v>0.66533079163748887</v>
      </c>
      <c r="C31" s="186">
        <v>0.7236424367812001</v>
      </c>
      <c r="D31" s="186">
        <v>5.8311645143711233E-2</v>
      </c>
      <c r="E31" s="187">
        <f t="shared" si="1"/>
        <v>5.8416043505771515</v>
      </c>
      <c r="F31" s="187">
        <f t="shared" si="2"/>
        <v>6.3535805949389363</v>
      </c>
      <c r="G31" s="187">
        <f t="shared" si="3"/>
        <v>0.51197624436178457</v>
      </c>
      <c r="H31" s="186">
        <v>1.7233860109113646</v>
      </c>
      <c r="I31" s="186">
        <v>0.94</v>
      </c>
      <c r="J31" s="187">
        <f t="shared" si="4"/>
        <v>12.821991921180553</v>
      </c>
      <c r="K31" s="187">
        <f t="shared" si="4"/>
        <v>6.9935999999999998</v>
      </c>
      <c r="L31" s="188">
        <f t="shared" si="5"/>
        <v>9.9077959605902759</v>
      </c>
      <c r="M31" s="189">
        <f t="shared" si="6"/>
        <v>6.0975924727580439</v>
      </c>
      <c r="N31" s="189">
        <v>4.2105263157894735</v>
      </c>
      <c r="O31" s="189">
        <f t="shared" si="7"/>
        <v>10.308118788547517</v>
      </c>
    </row>
    <row r="34" spans="11:17" x14ac:dyDescent="0.3">
      <c r="M34" s="182" t="s">
        <v>659</v>
      </c>
      <c r="N34" s="182" t="s">
        <v>660</v>
      </c>
    </row>
    <row r="35" spans="11:17" x14ac:dyDescent="0.3">
      <c r="K35" s="191">
        <v>2020</v>
      </c>
      <c r="M35" s="192">
        <v>89.637268346313249</v>
      </c>
      <c r="N35" s="192">
        <f>M35/0.947817</f>
        <v>94.572336586401434</v>
      </c>
      <c r="Q35" s="192">
        <f>N35</f>
        <v>94.572336586401434</v>
      </c>
    </row>
    <row r="36" spans="11:17" x14ac:dyDescent="0.3">
      <c r="K36" s="191">
        <v>2025</v>
      </c>
      <c r="M36" s="192">
        <v>83.377348527837654</v>
      </c>
      <c r="N36" s="192">
        <f t="shared" ref="N36:N41" si="12">M36/0.947817</f>
        <v>87.967770706621266</v>
      </c>
    </row>
    <row r="37" spans="11:17" x14ac:dyDescent="0.3">
      <c r="K37" s="191">
        <v>2030</v>
      </c>
      <c r="M37" s="192">
        <v>79.352815467579561</v>
      </c>
      <c r="N37" s="192">
        <f t="shared" si="12"/>
        <v>83.721663008343967</v>
      </c>
    </row>
    <row r="38" spans="11:17" x14ac:dyDescent="0.3">
      <c r="K38" s="191">
        <v>2035</v>
      </c>
      <c r="M38" s="192">
        <v>75.001373063250142</v>
      </c>
      <c r="N38" s="192">
        <f t="shared" si="12"/>
        <v>79.130647649546418</v>
      </c>
    </row>
    <row r="39" spans="11:17" x14ac:dyDescent="0.3">
      <c r="K39" s="191">
        <v>2040</v>
      </c>
      <c r="M39" s="192">
        <v>70.134423718997596</v>
      </c>
      <c r="N39" s="192">
        <f t="shared" si="12"/>
        <v>73.995743607676999</v>
      </c>
    </row>
    <row r="40" spans="11:17" x14ac:dyDescent="0.3">
      <c r="K40" s="191">
        <v>2045</v>
      </c>
      <c r="M40" s="192">
        <v>66.513497916638897</v>
      </c>
      <c r="N40" s="192">
        <f t="shared" si="12"/>
        <v>70.175464163059843</v>
      </c>
      <c r="Q40" s="192">
        <f>N36</f>
        <v>87.967770706621266</v>
      </c>
    </row>
    <row r="41" spans="11:17" x14ac:dyDescent="0.3">
      <c r="K41" s="191">
        <v>2050</v>
      </c>
      <c r="M41" s="192">
        <v>62.824641937523459</v>
      </c>
      <c r="N41" s="192">
        <f t="shared" si="12"/>
        <v>66.28351457878837</v>
      </c>
    </row>
    <row r="45" spans="11:17" x14ac:dyDescent="0.3">
      <c r="Q45" s="192">
        <f>N37</f>
        <v>83.721663008343967</v>
      </c>
    </row>
    <row r="50" spans="17:17" x14ac:dyDescent="0.3">
      <c r="Q50" s="192">
        <f>N38</f>
        <v>79.130647649546418</v>
      </c>
    </row>
    <row r="55" spans="17:17" x14ac:dyDescent="0.3">
      <c r="Q55" s="192">
        <f>N39</f>
        <v>73.995743607676999</v>
      </c>
    </row>
    <row r="60" spans="17:17" x14ac:dyDescent="0.3">
      <c r="Q60" s="192">
        <f>N40</f>
        <v>70.175464163059843</v>
      </c>
    </row>
    <row r="65" spans="17:17" x14ac:dyDescent="0.3">
      <c r="Q65" s="192">
        <f>N41</f>
        <v>66.28351457878837</v>
      </c>
    </row>
  </sheetData>
  <conditionalFormatting sqref="B3">
    <cfRule type="expression" dxfId="23" priority="23" stopIfTrue="1">
      <formula>MOD(ROW(),2)=1</formula>
    </cfRule>
    <cfRule type="expression" dxfId="22" priority="24" stopIfTrue="1">
      <formula>MOD(ROW(),2)=0</formula>
    </cfRule>
  </conditionalFormatting>
  <conditionalFormatting sqref="C3">
    <cfRule type="expression" dxfId="21" priority="21" stopIfTrue="1">
      <formula>MOD(ROW(),2)=1</formula>
    </cfRule>
    <cfRule type="expression" dxfId="20" priority="22" stopIfTrue="1">
      <formula>MOD(ROW(),2)=0</formula>
    </cfRule>
  </conditionalFormatting>
  <conditionalFormatting sqref="D3:G3 E4:G31">
    <cfRule type="expression" dxfId="19" priority="19" stopIfTrue="1">
      <formula>MOD(ROW(),2)=1</formula>
    </cfRule>
    <cfRule type="expression" dxfId="18" priority="20" stopIfTrue="1">
      <formula>MOD(ROW(),2)=0</formula>
    </cfRule>
  </conditionalFormatting>
  <conditionalFormatting sqref="B11">
    <cfRule type="expression" dxfId="17" priority="17" stopIfTrue="1">
      <formula>MOD(ROW(),2)=1</formula>
    </cfRule>
    <cfRule type="expression" dxfId="16" priority="18" stopIfTrue="1">
      <formula>MOD(ROW(),2)=0</formula>
    </cfRule>
  </conditionalFormatting>
  <conditionalFormatting sqref="D11">
    <cfRule type="expression" dxfId="15" priority="15" stopIfTrue="1">
      <formula>MOD(ROW(),2)=1</formula>
    </cfRule>
    <cfRule type="expression" dxfId="14" priority="16" stopIfTrue="1">
      <formula>MOD(ROW(),2)=0</formula>
    </cfRule>
  </conditionalFormatting>
  <conditionalFormatting sqref="C11">
    <cfRule type="expression" dxfId="13" priority="13" stopIfTrue="1">
      <formula>MOD(ROW(),2)=1</formula>
    </cfRule>
    <cfRule type="expression" dxfId="12" priority="14" stopIfTrue="1">
      <formula>MOD(ROW(),2)=0</formula>
    </cfRule>
  </conditionalFormatting>
  <conditionalFormatting sqref="B31">
    <cfRule type="expression" dxfId="11" priority="11" stopIfTrue="1">
      <formula>MOD(ROW(),2)=1</formula>
    </cfRule>
    <cfRule type="expression" dxfId="10" priority="12" stopIfTrue="1">
      <formula>MOD(ROW(),2)=0</formula>
    </cfRule>
  </conditionalFormatting>
  <conditionalFormatting sqref="D31">
    <cfRule type="expression" dxfId="9" priority="9" stopIfTrue="1">
      <formula>MOD(ROW(),2)=1</formula>
    </cfRule>
    <cfRule type="expression" dxfId="8" priority="10" stopIfTrue="1">
      <formula>MOD(ROW(),2)=0</formula>
    </cfRule>
  </conditionalFormatting>
  <conditionalFormatting sqref="C31">
    <cfRule type="expression" dxfId="7" priority="7" stopIfTrue="1">
      <formula>MOD(ROW(),2)=1</formula>
    </cfRule>
    <cfRule type="expression" dxfId="6" priority="8" stopIfTrue="1">
      <formula>MOD(ROW(),2)=0</formula>
    </cfRule>
  </conditionalFormatting>
  <conditionalFormatting sqref="H3:I3">
    <cfRule type="expression" dxfId="5" priority="5" stopIfTrue="1">
      <formula>MOD(ROW(),2)=1</formula>
    </cfRule>
    <cfRule type="expression" dxfId="4" priority="6" stopIfTrue="1">
      <formula>MOD(ROW(),2)=0</formula>
    </cfRule>
  </conditionalFormatting>
  <conditionalFormatting sqref="H11:I11">
    <cfRule type="expression" dxfId="3" priority="3" stopIfTrue="1">
      <formula>MOD(ROW(),2)=1</formula>
    </cfRule>
    <cfRule type="expression" dxfId="2" priority="4" stopIfTrue="1">
      <formula>MOD(ROW(),2)=0</formula>
    </cfRule>
  </conditionalFormatting>
  <conditionalFormatting sqref="H31:I31">
    <cfRule type="expression" dxfId="1" priority="1" stopIfTrue="1">
      <formula>MOD(ROW(),2)=1</formula>
    </cfRule>
    <cfRule type="expression" dxfId="0" priority="2" stopIfTrue="1">
      <formula>MOD(ROW(),2)=0</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9" tint="0.59999389629810485"/>
  </sheetPr>
  <dimension ref="A1:R62"/>
  <sheetViews>
    <sheetView showGridLines="0" topLeftCell="C13" zoomScale="80" zoomScaleNormal="80" zoomScalePageLayoutView="80" workbookViewId="0">
      <selection activeCell="T16" sqref="T16"/>
    </sheetView>
  </sheetViews>
  <sheetFormatPr defaultColWidth="9" defaultRowHeight="11.5" x14ac:dyDescent="0.25"/>
  <cols>
    <col min="1" max="1" width="15.8984375" style="3" customWidth="1"/>
    <col min="2" max="2" width="21.8984375" style="3" bestFit="1" customWidth="1"/>
    <col min="3" max="3" width="17.59765625" style="3" bestFit="1" customWidth="1"/>
    <col min="4" max="4" width="75" style="3" customWidth="1"/>
    <col min="5" max="5" width="19" style="3" bestFit="1" customWidth="1"/>
    <col min="6" max="12" width="15.8984375" style="3" customWidth="1"/>
    <col min="13" max="13" width="16.8984375" customWidth="1"/>
    <col min="14" max="14" width="18.59765625" customWidth="1"/>
    <col min="15" max="15" width="15.59765625" customWidth="1"/>
    <col min="18" max="18" width="12.59765625" customWidth="1"/>
  </cols>
  <sheetData>
    <row r="1" spans="1:15" ht="48" customHeight="1" x14ac:dyDescent="0.25">
      <c r="A1" s="92" t="s">
        <v>508</v>
      </c>
      <c r="B1" s="92" t="s">
        <v>509</v>
      </c>
      <c r="C1" s="92" t="s">
        <v>510</v>
      </c>
      <c r="D1" s="92" t="s">
        <v>511</v>
      </c>
      <c r="E1" s="92" t="s">
        <v>512</v>
      </c>
      <c r="F1" s="92" t="s">
        <v>513</v>
      </c>
      <c r="G1" s="92" t="s">
        <v>514</v>
      </c>
      <c r="H1" s="92" t="s">
        <v>515</v>
      </c>
      <c r="I1" s="92" t="s">
        <v>516</v>
      </c>
      <c r="J1" s="92" t="s">
        <v>517</v>
      </c>
      <c r="K1" s="92" t="s">
        <v>330</v>
      </c>
      <c r="L1" s="92" t="s">
        <v>518</v>
      </c>
      <c r="M1" s="92" t="s">
        <v>519</v>
      </c>
      <c r="N1" s="92" t="s">
        <v>520</v>
      </c>
      <c r="O1" s="8"/>
    </row>
    <row r="2" spans="1:15" x14ac:dyDescent="0.25">
      <c r="A2" s="97" t="s">
        <v>521</v>
      </c>
      <c r="B2" s="97" t="s">
        <v>291</v>
      </c>
      <c r="C2" s="93" t="s">
        <v>522</v>
      </c>
      <c r="D2" s="93" t="s">
        <v>523</v>
      </c>
      <c r="E2" s="94">
        <v>889.78591455969149</v>
      </c>
      <c r="F2" s="94">
        <v>29.896806729205686</v>
      </c>
      <c r="G2" s="94">
        <v>13.004525837367659</v>
      </c>
      <c r="H2" s="93">
        <v>3.6799999999999999E-2</v>
      </c>
      <c r="I2" s="93">
        <v>0.02</v>
      </c>
      <c r="J2" s="93">
        <v>8.0000000000000002E-3</v>
      </c>
      <c r="K2" s="93"/>
      <c r="L2" s="93"/>
      <c r="M2" s="93"/>
      <c r="N2" s="93"/>
      <c r="O2" s="8"/>
    </row>
    <row r="3" spans="1:15" x14ac:dyDescent="0.25">
      <c r="A3" s="97"/>
      <c r="B3" s="97"/>
      <c r="C3" s="93" t="s">
        <v>524</v>
      </c>
      <c r="D3" s="93" t="s">
        <v>525</v>
      </c>
      <c r="E3" s="94">
        <v>918</v>
      </c>
      <c r="F3" s="94"/>
      <c r="G3" s="94">
        <v>62.4</v>
      </c>
      <c r="H3" s="93">
        <v>5.0900000000000001E-2</v>
      </c>
      <c r="I3" s="93"/>
      <c r="J3" s="94">
        <v>0.83199999999999996</v>
      </c>
      <c r="K3" s="94"/>
      <c r="L3" s="94"/>
      <c r="M3" s="93"/>
      <c r="N3" s="93"/>
      <c r="O3" s="8"/>
    </row>
    <row r="4" spans="1:15" x14ac:dyDescent="0.25">
      <c r="A4" s="97"/>
      <c r="B4" s="97"/>
      <c r="C4" s="93" t="s">
        <v>524</v>
      </c>
      <c r="D4" s="93" t="s">
        <v>526</v>
      </c>
      <c r="E4" s="93" t="s">
        <v>15</v>
      </c>
      <c r="F4" s="93"/>
      <c r="G4" s="93"/>
      <c r="H4" s="93"/>
      <c r="I4" s="93"/>
      <c r="J4" s="93"/>
      <c r="K4" s="93">
        <v>83.9</v>
      </c>
      <c r="L4" s="94"/>
      <c r="M4" s="93"/>
      <c r="N4" s="93"/>
      <c r="O4" s="8"/>
    </row>
    <row r="5" spans="1:15" x14ac:dyDescent="0.25">
      <c r="A5" s="97"/>
      <c r="B5" s="97"/>
      <c r="C5" s="93" t="s">
        <v>527</v>
      </c>
      <c r="D5" s="93" t="s">
        <v>528</v>
      </c>
      <c r="E5" s="93" t="s">
        <v>15</v>
      </c>
      <c r="F5" s="93"/>
      <c r="G5" s="93"/>
      <c r="H5" s="93"/>
      <c r="I5" s="93"/>
      <c r="J5" s="93"/>
      <c r="K5" s="93" t="s">
        <v>529</v>
      </c>
      <c r="L5" s="94"/>
      <c r="M5" s="93"/>
      <c r="N5" s="93"/>
      <c r="O5" s="8"/>
    </row>
    <row r="6" spans="1:15" x14ac:dyDescent="0.25">
      <c r="A6" s="97"/>
      <c r="B6" s="97"/>
      <c r="C6" s="93" t="s">
        <v>530</v>
      </c>
      <c r="D6" s="93" t="s">
        <v>531</v>
      </c>
      <c r="E6" s="93" t="s">
        <v>15</v>
      </c>
      <c r="F6" s="93"/>
      <c r="G6" s="93"/>
      <c r="H6" s="93"/>
      <c r="I6" s="93"/>
      <c r="J6" s="93"/>
      <c r="K6" s="93">
        <v>73</v>
      </c>
      <c r="L6" s="94"/>
      <c r="M6" s="93"/>
      <c r="N6" s="95">
        <v>1000000</v>
      </c>
      <c r="O6" s="29"/>
    </row>
    <row r="7" spans="1:15" x14ac:dyDescent="0.25">
      <c r="A7" s="97"/>
      <c r="B7" s="97"/>
      <c r="C7" s="93" t="s">
        <v>532</v>
      </c>
      <c r="D7" s="93" t="s">
        <v>533</v>
      </c>
      <c r="E7" s="93" t="s">
        <v>15</v>
      </c>
      <c r="F7" s="93"/>
      <c r="G7" s="93"/>
      <c r="H7" s="93"/>
      <c r="I7" s="93"/>
      <c r="J7" s="93"/>
      <c r="K7" s="93">
        <v>95</v>
      </c>
      <c r="L7" s="94"/>
      <c r="M7" s="93"/>
      <c r="N7" s="95">
        <v>1000000</v>
      </c>
      <c r="O7" s="8"/>
    </row>
    <row r="8" spans="1:15" x14ac:dyDescent="0.25">
      <c r="A8" s="97"/>
      <c r="B8" s="97" t="s">
        <v>289</v>
      </c>
      <c r="C8" s="93" t="s">
        <v>534</v>
      </c>
      <c r="D8" s="93" t="s">
        <v>535</v>
      </c>
      <c r="E8" s="93" t="s">
        <v>15</v>
      </c>
      <c r="F8" s="93"/>
      <c r="G8" s="93"/>
      <c r="H8" s="93"/>
      <c r="I8" s="93"/>
      <c r="J8" s="93"/>
      <c r="K8" s="93" t="s">
        <v>536</v>
      </c>
      <c r="L8" s="94"/>
      <c r="M8" s="93"/>
      <c r="N8" s="95">
        <v>1000000</v>
      </c>
      <c r="O8" s="8"/>
    </row>
    <row r="9" spans="1:15" x14ac:dyDescent="0.25">
      <c r="A9" s="97"/>
      <c r="B9" s="97"/>
      <c r="C9" s="93" t="s">
        <v>537</v>
      </c>
      <c r="D9" s="93" t="s">
        <v>538</v>
      </c>
      <c r="E9" s="93" t="s">
        <v>15</v>
      </c>
      <c r="F9" s="93"/>
      <c r="G9" s="93"/>
      <c r="H9" s="93"/>
      <c r="I9" s="93"/>
      <c r="J9" s="93"/>
      <c r="K9" s="93" t="s">
        <v>539</v>
      </c>
      <c r="L9" s="94"/>
      <c r="M9" s="93"/>
      <c r="N9" s="95">
        <v>1000000</v>
      </c>
      <c r="O9" s="8"/>
    </row>
    <row r="10" spans="1:15" x14ac:dyDescent="0.25">
      <c r="A10" s="97"/>
      <c r="B10" s="97"/>
      <c r="C10" s="93" t="s">
        <v>540</v>
      </c>
      <c r="D10" s="93" t="s">
        <v>541</v>
      </c>
      <c r="E10" s="93" t="s">
        <v>15</v>
      </c>
      <c r="F10" s="93"/>
      <c r="G10" s="93"/>
      <c r="H10" s="93"/>
      <c r="I10" s="93"/>
      <c r="J10" s="93"/>
      <c r="K10" s="93">
        <v>70</v>
      </c>
      <c r="L10" s="94"/>
      <c r="M10" s="93"/>
      <c r="N10" s="95">
        <v>1000000</v>
      </c>
      <c r="O10" s="8"/>
    </row>
    <row r="11" spans="1:15" x14ac:dyDescent="0.25">
      <c r="A11" s="97"/>
      <c r="B11" s="97"/>
      <c r="C11" s="93" t="s">
        <v>532</v>
      </c>
      <c r="D11" s="93" t="s">
        <v>533</v>
      </c>
      <c r="E11" s="93" t="s">
        <v>15</v>
      </c>
      <c r="F11" s="93"/>
      <c r="G11" s="93"/>
      <c r="H11" s="93"/>
      <c r="I11" s="93"/>
      <c r="J11" s="93"/>
      <c r="K11" s="93">
        <v>70</v>
      </c>
      <c r="L11" s="94"/>
      <c r="M11" s="93"/>
      <c r="N11" s="95">
        <v>1000000</v>
      </c>
      <c r="O11" s="8"/>
    </row>
    <row r="12" spans="1:15" x14ac:dyDescent="0.25">
      <c r="A12" s="97"/>
      <c r="B12" s="97"/>
      <c r="C12" s="93" t="s">
        <v>542</v>
      </c>
      <c r="D12" s="93" t="s">
        <v>543</v>
      </c>
      <c r="E12" s="93" t="s">
        <v>544</v>
      </c>
      <c r="F12" s="93"/>
      <c r="G12" s="93"/>
      <c r="H12" s="93"/>
      <c r="I12" s="93"/>
      <c r="J12" s="93"/>
      <c r="K12" s="93"/>
      <c r="L12" s="94"/>
      <c r="M12" s="93"/>
      <c r="N12" s="95">
        <v>1000000</v>
      </c>
      <c r="O12" s="8"/>
    </row>
    <row r="13" spans="1:15" x14ac:dyDescent="0.25">
      <c r="A13" s="97"/>
      <c r="B13" s="97"/>
      <c r="C13" s="93" t="s">
        <v>545</v>
      </c>
      <c r="D13" s="93" t="s">
        <v>546</v>
      </c>
      <c r="E13" s="93">
        <v>350</v>
      </c>
      <c r="F13" s="93"/>
      <c r="G13" s="93"/>
      <c r="H13" s="93"/>
      <c r="I13" s="93"/>
      <c r="J13" s="93"/>
      <c r="K13" s="93"/>
      <c r="L13" s="94"/>
      <c r="M13" s="93"/>
      <c r="N13" s="95">
        <v>1000000</v>
      </c>
      <c r="O13" s="8"/>
    </row>
    <row r="14" spans="1:15" x14ac:dyDescent="0.25">
      <c r="A14" s="97"/>
      <c r="B14" s="97"/>
      <c r="C14" s="93" t="s">
        <v>547</v>
      </c>
      <c r="D14" s="93" t="s">
        <v>548</v>
      </c>
      <c r="E14" s="93">
        <v>430.92</v>
      </c>
      <c r="F14" s="93"/>
      <c r="G14" s="93"/>
      <c r="H14" s="93"/>
      <c r="I14" s="93"/>
      <c r="J14" s="93"/>
      <c r="K14" s="93"/>
      <c r="L14" s="94"/>
      <c r="M14" s="93"/>
      <c r="N14" s="95">
        <v>1000000</v>
      </c>
      <c r="O14" s="8"/>
    </row>
    <row r="15" spans="1:15" x14ac:dyDescent="0.25">
      <c r="A15" s="97"/>
      <c r="B15" s="97"/>
      <c r="C15" s="93" t="s">
        <v>549</v>
      </c>
      <c r="D15" s="93" t="s">
        <v>550</v>
      </c>
      <c r="E15" s="93">
        <v>665</v>
      </c>
      <c r="F15" s="93"/>
      <c r="G15" s="93"/>
      <c r="H15" s="93"/>
      <c r="I15" s="93"/>
      <c r="J15" s="93"/>
      <c r="K15" s="93"/>
      <c r="L15" s="94"/>
      <c r="M15" s="93"/>
      <c r="N15" s="95">
        <v>1000000</v>
      </c>
      <c r="O15" s="8"/>
    </row>
    <row r="16" spans="1:15" x14ac:dyDescent="0.25">
      <c r="A16" s="97"/>
      <c r="B16" s="97" t="s">
        <v>40</v>
      </c>
      <c r="C16" s="93" t="s">
        <v>551</v>
      </c>
      <c r="D16" s="93" t="s">
        <v>552</v>
      </c>
      <c r="E16" s="93" t="s">
        <v>15</v>
      </c>
      <c r="F16" s="93"/>
      <c r="G16" s="93"/>
      <c r="H16" s="93"/>
      <c r="I16" s="93"/>
      <c r="J16" s="93"/>
      <c r="K16" s="93" t="s">
        <v>553</v>
      </c>
      <c r="L16" s="94"/>
      <c r="M16" s="93"/>
      <c r="N16" s="95">
        <v>1000000</v>
      </c>
      <c r="O16" s="8"/>
    </row>
    <row r="17" spans="1:14" x14ac:dyDescent="0.25">
      <c r="A17" s="97"/>
      <c r="B17" s="97"/>
      <c r="C17" s="93" t="s">
        <v>554</v>
      </c>
      <c r="D17" s="93" t="s">
        <v>555</v>
      </c>
      <c r="E17" s="93" t="s">
        <v>15</v>
      </c>
      <c r="F17" s="93"/>
      <c r="G17" s="93"/>
      <c r="H17" s="93"/>
      <c r="I17" s="93"/>
      <c r="J17" s="93"/>
      <c r="K17" s="93" t="s">
        <v>556</v>
      </c>
      <c r="L17" s="94"/>
      <c r="M17" s="93"/>
      <c r="N17" s="95">
        <v>1000000</v>
      </c>
    </row>
    <row r="18" spans="1:14" x14ac:dyDescent="0.25">
      <c r="A18" s="97"/>
      <c r="B18" s="97"/>
      <c r="C18" s="93" t="s">
        <v>532</v>
      </c>
      <c r="D18" s="93" t="s">
        <v>533</v>
      </c>
      <c r="E18" s="93" t="s">
        <v>15</v>
      </c>
      <c r="F18" s="93"/>
      <c r="G18" s="93"/>
      <c r="H18" s="93"/>
      <c r="I18" s="93"/>
      <c r="J18" s="93"/>
      <c r="K18" s="93">
        <v>70</v>
      </c>
      <c r="L18" s="94"/>
      <c r="M18" s="93"/>
      <c r="N18" s="95">
        <v>1000000</v>
      </c>
    </row>
    <row r="19" spans="1:14" x14ac:dyDescent="0.25">
      <c r="A19" s="97"/>
      <c r="B19" s="97"/>
      <c r="C19" s="93" t="s">
        <v>557</v>
      </c>
      <c r="D19" s="93" t="s">
        <v>558</v>
      </c>
      <c r="E19" s="93">
        <v>1464.1814199999999</v>
      </c>
      <c r="F19" s="93"/>
      <c r="G19" s="93"/>
      <c r="H19" s="93"/>
      <c r="I19" s="93"/>
      <c r="J19" s="93"/>
      <c r="K19" s="93"/>
      <c r="L19" s="94"/>
      <c r="M19" s="93"/>
      <c r="N19" s="95">
        <v>1000000</v>
      </c>
    </row>
    <row r="20" spans="1:14" x14ac:dyDescent="0.25">
      <c r="A20" s="97"/>
      <c r="B20" s="97"/>
      <c r="C20" s="93" t="s">
        <v>559</v>
      </c>
      <c r="D20" s="93" t="s">
        <v>558</v>
      </c>
      <c r="E20" s="93">
        <v>834.39070000000004</v>
      </c>
      <c r="F20" s="93"/>
      <c r="G20" s="93"/>
      <c r="H20" s="93"/>
      <c r="I20" s="93"/>
      <c r="J20" s="93"/>
      <c r="K20" s="93"/>
      <c r="L20" s="94"/>
      <c r="M20" s="93"/>
      <c r="N20" s="95">
        <v>1000000</v>
      </c>
    </row>
    <row r="21" spans="1:14" x14ac:dyDescent="0.25">
      <c r="A21" s="97"/>
      <c r="B21" s="97"/>
      <c r="C21" s="93" t="s">
        <v>560</v>
      </c>
      <c r="D21" s="93" t="s">
        <v>558</v>
      </c>
      <c r="E21" s="93">
        <v>445.69173999999998</v>
      </c>
      <c r="F21" s="93"/>
      <c r="G21" s="93"/>
      <c r="H21" s="93"/>
      <c r="I21" s="93"/>
      <c r="J21" s="93"/>
      <c r="K21" s="93"/>
      <c r="L21" s="94"/>
      <c r="M21" s="93"/>
      <c r="N21" s="95">
        <v>1000000</v>
      </c>
    </row>
    <row r="22" spans="1:14" x14ac:dyDescent="0.25">
      <c r="A22" s="97" t="s">
        <v>561</v>
      </c>
      <c r="B22" s="97"/>
      <c r="C22" s="93" t="s">
        <v>562</v>
      </c>
      <c r="D22" s="93" t="s">
        <v>558</v>
      </c>
      <c r="E22" s="93">
        <v>1643.77018</v>
      </c>
      <c r="F22" s="93"/>
      <c r="G22" s="93"/>
      <c r="H22" s="93"/>
      <c r="I22" s="93"/>
      <c r="J22" s="93"/>
      <c r="K22" s="93"/>
      <c r="L22" s="93"/>
      <c r="M22" s="93"/>
      <c r="N22" s="95">
        <v>1000000</v>
      </c>
    </row>
    <row r="23" spans="1:14" x14ac:dyDescent="0.25">
      <c r="A23" s="97"/>
      <c r="B23" s="97"/>
      <c r="C23" s="93" t="s">
        <v>563</v>
      </c>
      <c r="D23" s="93" t="s">
        <v>564</v>
      </c>
      <c r="E23" s="94" t="s">
        <v>15</v>
      </c>
      <c r="F23" s="94"/>
      <c r="G23" s="94"/>
      <c r="H23" s="93"/>
      <c r="I23" s="93">
        <v>4.0000000000000001E-3</v>
      </c>
      <c r="J23" s="93">
        <f>0.034*12/7</f>
        <v>5.8285714285714288E-2</v>
      </c>
      <c r="K23" s="93"/>
      <c r="L23" s="93"/>
      <c r="M23" s="93"/>
      <c r="N23" s="95">
        <v>1000000</v>
      </c>
    </row>
    <row r="24" spans="1:14" x14ac:dyDescent="0.25">
      <c r="A24" s="97"/>
      <c r="B24" s="97" t="s">
        <v>565</v>
      </c>
      <c r="C24" s="93" t="s">
        <v>524</v>
      </c>
      <c r="D24" s="93" t="s">
        <v>566</v>
      </c>
      <c r="E24" s="94">
        <v>682</v>
      </c>
      <c r="F24" s="94"/>
      <c r="G24" s="94">
        <f>0.9*1000/100</f>
        <v>9</v>
      </c>
      <c r="H24" s="93">
        <f>208/3</f>
        <v>69.333333333333329</v>
      </c>
      <c r="I24" s="93"/>
      <c r="J24" s="93"/>
      <c r="K24" s="93"/>
      <c r="L24" s="93"/>
      <c r="M24" s="93"/>
      <c r="N24" s="95">
        <v>1000000</v>
      </c>
    </row>
    <row r="25" spans="1:14" x14ac:dyDescent="0.25">
      <c r="A25" s="97"/>
      <c r="B25" s="97"/>
      <c r="C25" s="93" t="s">
        <v>563</v>
      </c>
      <c r="D25" s="93" t="s">
        <v>564</v>
      </c>
      <c r="E25" s="94" t="s">
        <v>15</v>
      </c>
      <c r="F25" s="94"/>
      <c r="G25" s="94"/>
      <c r="H25" s="93"/>
      <c r="I25" s="93">
        <v>4.0000000000000001E-3</v>
      </c>
      <c r="J25" s="93">
        <f>0.034*12/7</f>
        <v>5.8285714285714288E-2</v>
      </c>
      <c r="K25" s="93"/>
      <c r="L25" s="93"/>
      <c r="M25" s="93"/>
      <c r="N25" s="95">
        <v>1000000</v>
      </c>
    </row>
    <row r="26" spans="1:14" x14ac:dyDescent="0.25">
      <c r="A26" s="97"/>
      <c r="B26" s="97" t="s">
        <v>567</v>
      </c>
      <c r="C26" s="93" t="s">
        <v>524</v>
      </c>
      <c r="D26" s="93" t="s">
        <v>566</v>
      </c>
      <c r="E26" s="94">
        <v>666</v>
      </c>
      <c r="F26" s="94"/>
      <c r="G26" s="94">
        <f>0.6*1000/100</f>
        <v>6</v>
      </c>
      <c r="H26" s="93">
        <f>700.1/15</f>
        <v>46.673333333333332</v>
      </c>
      <c r="I26" s="93"/>
      <c r="J26" s="93"/>
      <c r="K26" s="93"/>
      <c r="L26" s="93"/>
      <c r="M26" s="93"/>
      <c r="N26" s="95"/>
    </row>
    <row r="27" spans="1:14" x14ac:dyDescent="0.25">
      <c r="A27" s="97"/>
      <c r="B27" s="97"/>
      <c r="C27" s="93" t="s">
        <v>563</v>
      </c>
      <c r="D27" s="93" t="s">
        <v>564</v>
      </c>
      <c r="E27" s="94" t="s">
        <v>15</v>
      </c>
      <c r="F27" s="94"/>
      <c r="G27" s="94"/>
      <c r="H27" s="93"/>
      <c r="I27" s="93">
        <v>4.0000000000000001E-3</v>
      </c>
      <c r="J27" s="93">
        <f>0.034*12/7</f>
        <v>5.8285714285714288E-2</v>
      </c>
      <c r="K27" s="93"/>
      <c r="L27" s="93"/>
      <c r="M27" s="93"/>
      <c r="N27" s="95"/>
    </row>
    <row r="28" spans="1:14" x14ac:dyDescent="0.25">
      <c r="A28" s="97"/>
      <c r="B28" s="97" t="s">
        <v>568</v>
      </c>
      <c r="C28" s="93" t="s">
        <v>569</v>
      </c>
      <c r="D28" s="93" t="s">
        <v>570</v>
      </c>
      <c r="E28" s="94">
        <f>345/0.746</f>
        <v>462.46648793565686</v>
      </c>
      <c r="F28" s="94"/>
      <c r="G28" s="94">
        <v>3.2414000000000001</v>
      </c>
      <c r="H28" s="93"/>
      <c r="I28" s="93"/>
      <c r="J28" s="93"/>
      <c r="K28" s="93"/>
      <c r="L28" s="93"/>
      <c r="M28" s="93"/>
      <c r="N28" s="93"/>
    </row>
    <row r="29" spans="1:14" x14ac:dyDescent="0.25">
      <c r="A29" s="97"/>
      <c r="B29" s="97" t="s">
        <v>571</v>
      </c>
      <c r="C29" s="93" t="s">
        <v>569</v>
      </c>
      <c r="D29" s="93" t="s">
        <v>570</v>
      </c>
      <c r="E29" s="94">
        <f>255/0.746</f>
        <v>341.82305630026809</v>
      </c>
      <c r="F29" s="94"/>
      <c r="G29" s="94">
        <v>3.2414000000000001</v>
      </c>
      <c r="H29" s="93"/>
      <c r="I29" s="93"/>
      <c r="J29" s="93"/>
      <c r="K29" s="93"/>
      <c r="L29" s="93"/>
      <c r="M29" s="93"/>
      <c r="N29" s="93"/>
    </row>
    <row r="30" spans="1:14" ht="30" customHeight="1" x14ac:dyDescent="0.25">
      <c r="A30" s="97" t="s">
        <v>572</v>
      </c>
      <c r="B30" s="97" t="s">
        <v>573</v>
      </c>
      <c r="C30" s="93" t="s">
        <v>574</v>
      </c>
      <c r="D30" s="93" t="s">
        <v>575</v>
      </c>
      <c r="E30" s="94">
        <f>1500000000/200000</f>
        <v>7500</v>
      </c>
      <c r="F30" s="94">
        <f>0.05*E30</f>
        <v>375</v>
      </c>
      <c r="G30" s="94"/>
      <c r="H30" s="93">
        <f>16600000000/1130000/0.0899/3412000</f>
        <v>4.7891774652328516E-2</v>
      </c>
      <c r="I30" s="93"/>
      <c r="J30" s="93"/>
      <c r="K30" s="93"/>
      <c r="L30" s="93"/>
      <c r="M30" s="93"/>
      <c r="N30" s="93"/>
    </row>
    <row r="31" spans="1:14" x14ac:dyDescent="0.25">
      <c r="A31" s="97"/>
      <c r="B31" s="97" t="s">
        <v>576</v>
      </c>
      <c r="C31" s="93" t="s">
        <v>574</v>
      </c>
      <c r="D31" s="93" t="s">
        <v>575</v>
      </c>
      <c r="E31" s="94">
        <f>900000000/200000</f>
        <v>4500</v>
      </c>
      <c r="F31" s="94">
        <f>0.05*E31</f>
        <v>225</v>
      </c>
      <c r="G31" s="94"/>
      <c r="H31" s="93">
        <f>16600000000/1130000/0.0899/3412000</f>
        <v>4.7891774652328516E-2</v>
      </c>
      <c r="I31" s="93"/>
      <c r="J31" s="93"/>
      <c r="K31" s="93"/>
      <c r="L31" s="93"/>
      <c r="M31" s="93"/>
      <c r="N31" s="93"/>
    </row>
    <row r="32" spans="1:14" x14ac:dyDescent="0.25">
      <c r="A32" s="97"/>
      <c r="B32" s="97" t="s">
        <v>577</v>
      </c>
      <c r="C32" s="93" t="s">
        <v>574</v>
      </c>
      <c r="D32" s="93" t="s">
        <v>575</v>
      </c>
      <c r="E32" s="94">
        <v>277145.14835605526</v>
      </c>
      <c r="F32" s="94"/>
      <c r="G32" s="94"/>
      <c r="H32" s="93"/>
      <c r="I32" s="93"/>
      <c r="J32" s="93"/>
      <c r="K32" s="93"/>
      <c r="L32" s="96">
        <v>1820411.8226645826</v>
      </c>
      <c r="M32" s="93">
        <f>(2.5-2.44)*1000*86400/4439/1.98</f>
        <v>589.81343054332524</v>
      </c>
      <c r="N32" s="93"/>
    </row>
    <row r="33" spans="1:18" x14ac:dyDescent="0.25">
      <c r="A33" s="97"/>
      <c r="B33" s="97" t="s">
        <v>578</v>
      </c>
      <c r="C33" s="93" t="s">
        <v>579</v>
      </c>
      <c r="D33" s="93" t="s">
        <v>580</v>
      </c>
      <c r="E33" s="94">
        <v>2137.9699999999998</v>
      </c>
      <c r="F33" s="94"/>
      <c r="G33" s="94"/>
      <c r="H33" s="93"/>
      <c r="I33" s="93"/>
      <c r="J33" s="93"/>
      <c r="K33" s="93"/>
      <c r="L33" s="96">
        <v>63630.059523809527</v>
      </c>
      <c r="M33" s="93"/>
      <c r="N33" s="93"/>
      <c r="O33" s="8"/>
      <c r="P33" s="8"/>
      <c r="Q33" s="8"/>
      <c r="R33" s="15"/>
    </row>
    <row r="34" spans="1:18" x14ac:dyDescent="0.25">
      <c r="A34" s="97"/>
      <c r="B34" s="97" t="s">
        <v>581</v>
      </c>
      <c r="C34" s="93" t="s">
        <v>579</v>
      </c>
      <c r="D34" s="93" t="s">
        <v>580</v>
      </c>
      <c r="E34" s="94">
        <v>800</v>
      </c>
      <c r="F34" s="94"/>
      <c r="G34" s="94"/>
      <c r="H34" s="93"/>
      <c r="I34" s="93"/>
      <c r="J34" s="93"/>
      <c r="K34" s="93"/>
      <c r="L34" s="96">
        <v>23809.523809523809</v>
      </c>
      <c r="M34" s="93"/>
      <c r="N34" s="93"/>
      <c r="O34" s="8"/>
      <c r="P34" s="8"/>
      <c r="Q34" s="8"/>
      <c r="R34" s="8"/>
    </row>
    <row r="35" spans="1:18" x14ac:dyDescent="0.25">
      <c r="A35" s="97"/>
      <c r="B35" s="97" t="s">
        <v>47</v>
      </c>
      <c r="C35" s="93"/>
      <c r="D35" s="136" t="s">
        <v>582</v>
      </c>
      <c r="E35" s="94"/>
      <c r="F35" s="94"/>
      <c r="G35" s="94"/>
      <c r="H35" s="93"/>
      <c r="I35" s="93"/>
      <c r="J35" s="93"/>
      <c r="K35" s="93"/>
      <c r="L35" s="96"/>
      <c r="M35" s="96"/>
      <c r="N35" s="93"/>
      <c r="O35" s="8"/>
      <c r="P35" s="8"/>
      <c r="Q35" s="8"/>
      <c r="R35" s="8"/>
    </row>
    <row r="36" spans="1:18" x14ac:dyDescent="0.25">
      <c r="A36" s="97" t="s">
        <v>583</v>
      </c>
      <c r="B36" s="97" t="s">
        <v>584</v>
      </c>
      <c r="C36" s="93"/>
      <c r="D36" s="93" t="s">
        <v>585</v>
      </c>
      <c r="E36" s="94"/>
      <c r="F36" s="94"/>
      <c r="G36" s="94"/>
      <c r="H36" s="93"/>
      <c r="I36" s="93"/>
      <c r="J36" s="93"/>
      <c r="K36" s="93"/>
      <c r="L36" s="96"/>
      <c r="M36" s="96"/>
      <c r="N36" s="93"/>
      <c r="O36" s="8"/>
      <c r="P36" s="8"/>
      <c r="Q36" s="8"/>
      <c r="R36" s="8"/>
    </row>
    <row r="37" spans="1:18" x14ac:dyDescent="0.25">
      <c r="A37" s="97"/>
      <c r="B37" s="97" t="s">
        <v>584</v>
      </c>
      <c r="C37" s="93"/>
      <c r="D37" s="93" t="s">
        <v>586</v>
      </c>
      <c r="E37" s="94"/>
      <c r="F37" s="94"/>
      <c r="G37" s="94"/>
      <c r="H37" s="93"/>
      <c r="I37" s="93"/>
      <c r="J37" s="93"/>
      <c r="K37" s="93"/>
      <c r="L37" s="96"/>
      <c r="M37" s="96"/>
      <c r="N37" s="93"/>
      <c r="O37" s="8"/>
      <c r="P37" s="8"/>
      <c r="Q37" s="8"/>
      <c r="R37" s="8"/>
    </row>
    <row r="38" spans="1:18" x14ac:dyDescent="0.25">
      <c r="A38" s="97"/>
      <c r="B38" s="97" t="s">
        <v>584</v>
      </c>
      <c r="C38" s="93"/>
      <c r="D38" s="93" t="s">
        <v>587</v>
      </c>
      <c r="E38" s="94"/>
      <c r="F38" s="94"/>
      <c r="G38" s="94"/>
      <c r="H38" s="93"/>
      <c r="I38" s="93"/>
      <c r="J38" s="93"/>
      <c r="K38" s="93"/>
      <c r="L38" s="96"/>
      <c r="M38" s="96"/>
      <c r="N38" s="93"/>
      <c r="O38" s="8"/>
      <c r="P38" s="8"/>
      <c r="Q38" s="8"/>
      <c r="R38" s="8"/>
    </row>
    <row r="39" spans="1:18" x14ac:dyDescent="0.25">
      <c r="A39" s="97"/>
      <c r="B39" s="97" t="s">
        <v>584</v>
      </c>
      <c r="C39" s="93"/>
      <c r="D39" s="93" t="s">
        <v>588</v>
      </c>
      <c r="E39" s="94"/>
      <c r="F39" s="94"/>
      <c r="G39" s="94"/>
      <c r="H39" s="93"/>
      <c r="I39" s="93"/>
      <c r="J39" s="93"/>
      <c r="K39" s="93"/>
      <c r="L39" s="96"/>
      <c r="M39" s="96"/>
      <c r="N39" s="93"/>
      <c r="O39" s="8"/>
      <c r="P39" s="8"/>
      <c r="Q39" s="8"/>
      <c r="R39" s="8"/>
    </row>
    <row r="40" spans="1:18" x14ac:dyDescent="0.25">
      <c r="C40" s="8"/>
      <c r="L40" s="8"/>
      <c r="M40" s="8"/>
      <c r="N40" s="8"/>
      <c r="O40" s="8"/>
      <c r="P40" s="8"/>
      <c r="Q40" s="8"/>
      <c r="R40" s="8"/>
    </row>
    <row r="41" spans="1:18" x14ac:dyDescent="0.25">
      <c r="C41" s="8"/>
      <c r="L41" s="8"/>
      <c r="M41" s="8"/>
      <c r="N41" s="8"/>
      <c r="O41" s="8"/>
      <c r="P41" s="8"/>
      <c r="Q41" s="8"/>
      <c r="R41" s="8"/>
    </row>
    <row r="42" spans="1:18" x14ac:dyDescent="0.25">
      <c r="C42" s="8"/>
      <c r="L42" s="8"/>
      <c r="M42" s="8"/>
      <c r="N42" s="8"/>
      <c r="O42" s="8"/>
      <c r="P42" s="8"/>
      <c r="Q42" s="8"/>
      <c r="R42" s="8"/>
    </row>
    <row r="43" spans="1:18" x14ac:dyDescent="0.25">
      <c r="C43" s="8"/>
      <c r="L43" s="8"/>
      <c r="M43" s="8"/>
      <c r="N43" s="8"/>
      <c r="O43" s="8"/>
      <c r="P43" s="8"/>
      <c r="Q43" s="8"/>
      <c r="R43" s="8"/>
    </row>
    <row r="44" spans="1:18" x14ac:dyDescent="0.25">
      <c r="C44" s="8"/>
      <c r="L44" s="8"/>
      <c r="M44" s="8"/>
      <c r="N44" s="8"/>
      <c r="O44" s="8"/>
      <c r="P44" s="8"/>
      <c r="Q44" s="8"/>
      <c r="R44" s="8"/>
    </row>
    <row r="45" spans="1:18" x14ac:dyDescent="0.25">
      <c r="C45" s="8"/>
      <c r="L45" s="8"/>
      <c r="M45" s="8"/>
      <c r="N45" s="8"/>
      <c r="O45" s="8"/>
      <c r="P45" s="8"/>
      <c r="Q45" s="8"/>
      <c r="R45" s="8"/>
    </row>
    <row r="46" spans="1:18" x14ac:dyDescent="0.25">
      <c r="C46" s="8"/>
      <c r="L46" s="8"/>
      <c r="M46" s="8"/>
      <c r="N46" s="8"/>
      <c r="O46" s="8"/>
      <c r="P46" s="8"/>
      <c r="Q46" s="8"/>
      <c r="R46" s="8"/>
    </row>
    <row r="47" spans="1:18" x14ac:dyDescent="0.25">
      <c r="D47" s="8"/>
      <c r="L47" s="8"/>
      <c r="M47" s="8"/>
      <c r="N47" s="8"/>
      <c r="O47" s="8"/>
      <c r="P47" s="8"/>
      <c r="Q47" s="8"/>
      <c r="R47" s="8"/>
    </row>
    <row r="48" spans="1:18" x14ac:dyDescent="0.25">
      <c r="C48" s="8"/>
      <c r="L48" s="8"/>
      <c r="M48" s="8"/>
      <c r="N48" s="8"/>
      <c r="O48" s="8"/>
      <c r="P48" s="8"/>
      <c r="Q48" s="8"/>
      <c r="R48" s="8"/>
    </row>
    <row r="49" spans="3:12" x14ac:dyDescent="0.25">
      <c r="C49" s="8"/>
      <c r="L49" s="8"/>
    </row>
    <row r="50" spans="3:12" x14ac:dyDescent="0.25">
      <c r="C50" s="8"/>
      <c r="L50" s="8"/>
    </row>
    <row r="51" spans="3:12" x14ac:dyDescent="0.25">
      <c r="C51" s="8"/>
      <c r="L51" s="8"/>
    </row>
    <row r="52" spans="3:12" x14ac:dyDescent="0.25">
      <c r="C52" s="8"/>
      <c r="L52" s="8"/>
    </row>
    <row r="53" spans="3:12" x14ac:dyDescent="0.25">
      <c r="C53" s="8"/>
      <c r="L53" s="8"/>
    </row>
    <row r="54" spans="3:12" x14ac:dyDescent="0.25">
      <c r="C54" s="8"/>
      <c r="L54" s="8"/>
    </row>
    <row r="55" spans="3:12" x14ac:dyDescent="0.25">
      <c r="C55" s="8"/>
      <c r="L55" s="8"/>
    </row>
    <row r="56" spans="3:12" x14ac:dyDescent="0.25">
      <c r="C56" s="8"/>
      <c r="L56" s="8"/>
    </row>
    <row r="57" spans="3:12" x14ac:dyDescent="0.25">
      <c r="C57" s="8"/>
      <c r="L57" s="8"/>
    </row>
    <row r="58" spans="3:12" x14ac:dyDescent="0.25">
      <c r="L58" s="8"/>
    </row>
    <row r="59" spans="3:12" x14ac:dyDescent="0.25">
      <c r="L59" s="8"/>
    </row>
    <row r="60" spans="3:12" x14ac:dyDescent="0.25">
      <c r="L60" s="8"/>
    </row>
    <row r="61" spans="3:12" x14ac:dyDescent="0.25">
      <c r="L61" s="8"/>
    </row>
    <row r="62" spans="3:12" x14ac:dyDescent="0.25">
      <c r="L62" s="8"/>
    </row>
  </sheetData>
  <hyperlinks>
    <hyperlink ref="D3" r:id="rId1" xr:uid="{00000000-0004-0000-0D00-000000000000}"/>
    <hyperlink ref="D26" r:id="rId2" xr:uid="{00000000-0004-0000-0D00-000001000000}"/>
    <hyperlink ref="D24" r:id="rId3" xr:uid="{00000000-0004-0000-0D00-000002000000}"/>
    <hyperlink ref="D4" r:id="rId4" xr:uid="{00000000-0004-0000-0D00-000003000000}"/>
    <hyperlink ref="D5" r:id="rId5" xr:uid="{00000000-0004-0000-0D00-000004000000}"/>
    <hyperlink ref="D6" display="https://www.scopus.com/record/display.uri?eid=2-s2.0-85012088626&amp;origin=resultslist&amp;sort=plf-f&amp;src=s&amp;st1=solid+oxide+electrolyzer+efficiency&amp;st2=&amp;sid=076434423864b2b7332086b93dded973&amp;sot=b&amp;sdt=b&amp;sl=50&amp;s=TITLE-ABS-KEY%28solid+oxide+electrolyzer+efficiency%" xr:uid="{00000000-0004-0000-0D00-000005000000}"/>
    <hyperlink ref="D7" r:id="rId6" xr:uid="{00000000-0004-0000-0D00-000006000000}"/>
    <hyperlink ref="D8" r:id="rId7" xr:uid="{00000000-0004-0000-0D00-000007000000}"/>
    <hyperlink ref="D16" r:id="rId8" xr:uid="{00000000-0004-0000-0D00-000008000000}"/>
    <hyperlink ref="D19" r:id="rId9" location="bib214" xr:uid="{00000000-0004-0000-0D00-000009000000}"/>
    <hyperlink ref="D20" r:id="rId10" location="bib214" xr:uid="{00000000-0004-0000-0D00-00000A000000}"/>
    <hyperlink ref="D21" r:id="rId11" location="bib214" xr:uid="{00000000-0004-0000-0D00-00000B000000}"/>
    <hyperlink ref="D22" r:id="rId12" location="bib214" xr:uid="{00000000-0004-0000-0D00-00000C000000}"/>
    <hyperlink ref="D33" r:id="rId13" xr:uid="{00000000-0004-0000-0D00-00000D000000}"/>
    <hyperlink ref="D32" r:id="rId14" xr:uid="{00000000-0004-0000-0D00-00000E000000}"/>
    <hyperlink ref="D35" r:id="rId15" xr:uid="{00000000-0004-0000-0D00-00000F000000}"/>
  </hyperlinks>
  <pageMargins left="0.7" right="0.7" top="0.75" bottom="0.75" header="0.3" footer="0.3"/>
  <pageSetup orientation="portrait"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0" tint="-0.249977111117893"/>
  </sheetPr>
  <dimension ref="A1:J8"/>
  <sheetViews>
    <sheetView topLeftCell="C1" workbookViewId="0">
      <selection activeCell="I22" sqref="I22"/>
    </sheetView>
  </sheetViews>
  <sheetFormatPr defaultColWidth="9" defaultRowHeight="11.5" x14ac:dyDescent="0.25"/>
  <cols>
    <col min="1" max="10" width="21" style="8" customWidth="1"/>
    <col min="11" max="16384" width="9" style="8"/>
  </cols>
  <sheetData>
    <row r="1" spans="1:10" s="87" customFormat="1" x14ac:dyDescent="0.25">
      <c r="A1" s="87" t="s">
        <v>613</v>
      </c>
      <c r="B1" s="87" t="s">
        <v>614</v>
      </c>
      <c r="C1" s="87" t="s">
        <v>615</v>
      </c>
      <c r="D1" s="87" t="s">
        <v>616</v>
      </c>
      <c r="E1" s="87" t="s">
        <v>617</v>
      </c>
      <c r="F1" s="87" t="s">
        <v>618</v>
      </c>
      <c r="G1" s="87" t="s">
        <v>619</v>
      </c>
      <c r="H1" s="87" t="s">
        <v>39</v>
      </c>
      <c r="I1" s="87" t="s">
        <v>620</v>
      </c>
      <c r="J1" s="87" t="s">
        <v>621</v>
      </c>
    </row>
    <row r="2" spans="1:10" x14ac:dyDescent="0.25">
      <c r="A2" s="8">
        <v>2020</v>
      </c>
      <c r="B2" s="8" t="s">
        <v>56</v>
      </c>
      <c r="C2" s="8" t="s">
        <v>622</v>
      </c>
      <c r="D2" s="8" t="s">
        <v>37</v>
      </c>
      <c r="E2" s="8" t="s">
        <v>36</v>
      </c>
      <c r="F2" s="8" t="s">
        <v>316</v>
      </c>
      <c r="G2" s="8" t="s">
        <v>623</v>
      </c>
      <c r="H2" s="8" t="s">
        <v>40</v>
      </c>
      <c r="I2" s="8" t="s">
        <v>43</v>
      </c>
      <c r="J2" s="8" t="s">
        <v>67</v>
      </c>
    </row>
    <row r="3" spans="1:10" x14ac:dyDescent="0.25">
      <c r="A3" s="8">
        <v>2025</v>
      </c>
      <c r="B3" s="8" t="s">
        <v>624</v>
      </c>
      <c r="C3" s="8" t="s">
        <v>625</v>
      </c>
      <c r="D3" s="8" t="s">
        <v>626</v>
      </c>
      <c r="E3" s="8" t="s">
        <v>37</v>
      </c>
      <c r="F3" s="8" t="s">
        <v>317</v>
      </c>
      <c r="G3" s="8" t="s">
        <v>305</v>
      </c>
      <c r="H3" s="8" t="s">
        <v>289</v>
      </c>
      <c r="I3" s="8" t="s">
        <v>341</v>
      </c>
      <c r="J3" s="8" t="s">
        <v>68</v>
      </c>
    </row>
    <row r="4" spans="1:10" x14ac:dyDescent="0.25">
      <c r="A4" s="8">
        <v>2030</v>
      </c>
      <c r="C4" s="8" t="s">
        <v>627</v>
      </c>
      <c r="D4" s="8" t="s">
        <v>628</v>
      </c>
      <c r="E4" s="8" t="s">
        <v>320</v>
      </c>
      <c r="F4" s="8" t="s">
        <v>47</v>
      </c>
      <c r="G4" s="8" t="s">
        <v>46</v>
      </c>
      <c r="H4" s="8" t="s">
        <v>291</v>
      </c>
      <c r="I4" s="8" t="s">
        <v>629</v>
      </c>
    </row>
    <row r="5" spans="1:10" x14ac:dyDescent="0.25">
      <c r="A5" s="8">
        <v>2035</v>
      </c>
      <c r="C5" s="8" t="s">
        <v>630</v>
      </c>
      <c r="F5" s="8" t="s">
        <v>46</v>
      </c>
      <c r="H5" s="8" t="s">
        <v>290</v>
      </c>
    </row>
    <row r="6" spans="1:10" x14ac:dyDescent="0.25">
      <c r="A6" s="8">
        <v>2040</v>
      </c>
      <c r="F6" s="8" t="s">
        <v>48</v>
      </c>
      <c r="H6" s="8" t="s">
        <v>631</v>
      </c>
    </row>
    <row r="7" spans="1:10" x14ac:dyDescent="0.25">
      <c r="A7" s="8">
        <v>2045</v>
      </c>
      <c r="H7" s="8" t="s">
        <v>637</v>
      </c>
    </row>
    <row r="8" spans="1:10" x14ac:dyDescent="0.25">
      <c r="A8" s="8">
        <v>2050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B27"/>
  <sheetViews>
    <sheetView showGridLines="0" zoomScale="115" zoomScaleNormal="115" workbookViewId="0">
      <selection activeCell="M20" sqref="M20"/>
    </sheetView>
  </sheetViews>
  <sheetFormatPr defaultColWidth="9" defaultRowHeight="11.5" x14ac:dyDescent="0.25"/>
  <cols>
    <col min="1" max="1" width="44.3984375" customWidth="1"/>
    <col min="2" max="2" width="11" bestFit="1" customWidth="1"/>
  </cols>
  <sheetData>
    <row r="1" spans="1:2" ht="14.5" thickBot="1" x14ac:dyDescent="0.3">
      <c r="A1" s="17" t="s">
        <v>589</v>
      </c>
      <c r="B1" s="16"/>
    </row>
    <row r="2" spans="1:2" ht="14" x14ac:dyDescent="0.25">
      <c r="A2" s="19" t="s">
        <v>590</v>
      </c>
      <c r="B2" s="20">
        <v>55000</v>
      </c>
    </row>
    <row r="3" spans="1:2" ht="14" x14ac:dyDescent="0.25">
      <c r="A3" s="21" t="s">
        <v>591</v>
      </c>
      <c r="B3" s="22">
        <v>142000</v>
      </c>
    </row>
    <row r="4" spans="1:2" ht="14" x14ac:dyDescent="0.25">
      <c r="A4" s="21" t="s">
        <v>592</v>
      </c>
      <c r="B4" s="22">
        <v>45600</v>
      </c>
    </row>
    <row r="5" spans="1:2" ht="14" x14ac:dyDescent="0.25">
      <c r="A5" s="21" t="s">
        <v>593</v>
      </c>
      <c r="B5" s="23">
        <v>286</v>
      </c>
    </row>
    <row r="6" spans="1:2" ht="14" x14ac:dyDescent="0.25">
      <c r="A6" s="21" t="s">
        <v>594</v>
      </c>
      <c r="B6" s="23">
        <v>890</v>
      </c>
    </row>
    <row r="7" spans="1:2" ht="14" x14ac:dyDescent="0.25">
      <c r="A7" s="21" t="s">
        <v>595</v>
      </c>
      <c r="B7" s="34">
        <f>B4*B10/1000</f>
        <v>731.42399999999998</v>
      </c>
    </row>
    <row r="8" spans="1:2" ht="14" x14ac:dyDescent="0.25">
      <c r="A8" s="21" t="s">
        <v>596</v>
      </c>
      <c r="B8" s="23">
        <v>2.02</v>
      </c>
    </row>
    <row r="9" spans="1:2" ht="14" x14ac:dyDescent="0.25">
      <c r="A9" s="21" t="s">
        <v>597</v>
      </c>
      <c r="B9" s="23">
        <v>44.01</v>
      </c>
    </row>
    <row r="10" spans="1:2" ht="14" x14ac:dyDescent="0.25">
      <c r="A10" s="21" t="s">
        <v>598</v>
      </c>
      <c r="B10" s="23">
        <v>16.04</v>
      </c>
    </row>
    <row r="11" spans="1:2" ht="14" x14ac:dyDescent="0.25">
      <c r="A11" s="21" t="s">
        <v>599</v>
      </c>
      <c r="B11" s="23">
        <f>'Fischer Tropsch Data'!B72</f>
        <v>12.9</v>
      </c>
    </row>
    <row r="12" spans="1:2" ht="14" x14ac:dyDescent="0.25">
      <c r="A12" s="21" t="s">
        <v>600</v>
      </c>
      <c r="B12" s="23">
        <f>'Fischer Tropsch Data'!B71*2</f>
        <v>23.9</v>
      </c>
    </row>
    <row r="13" spans="1:2" ht="14" x14ac:dyDescent="0.25">
      <c r="A13" s="21" t="s">
        <v>601</v>
      </c>
      <c r="B13" s="23">
        <f>'Fischer Tropsch Data'!B66*1000</f>
        <v>179.02019999999999</v>
      </c>
    </row>
    <row r="14" spans="1:2" ht="14" x14ac:dyDescent="0.25">
      <c r="A14" s="26" t="s">
        <v>602</v>
      </c>
      <c r="B14" s="27">
        <v>4</v>
      </c>
    </row>
    <row r="15" spans="1:2" ht="14" x14ac:dyDescent="0.25">
      <c r="A15" s="21" t="s">
        <v>603</v>
      </c>
      <c r="B15" s="35">
        <f>'Fischer Tropsch Data'!B77</f>
        <v>37.75</v>
      </c>
    </row>
    <row r="16" spans="1:2" ht="14" x14ac:dyDescent="0.25">
      <c r="A16" s="26" t="s">
        <v>604</v>
      </c>
      <c r="B16" s="23">
        <f>4.184</f>
        <v>4.1840000000000002</v>
      </c>
    </row>
    <row r="17" spans="1:2" ht="14" x14ac:dyDescent="0.25">
      <c r="A17" s="21" t="s">
        <v>605</v>
      </c>
      <c r="B17" s="23">
        <v>165</v>
      </c>
    </row>
    <row r="18" spans="1:2" ht="14.5" thickBot="1" x14ac:dyDescent="0.3">
      <c r="A18" s="24" t="s">
        <v>606</v>
      </c>
      <c r="B18" s="25">
        <v>0</v>
      </c>
    </row>
    <row r="19" spans="1:2" ht="14" x14ac:dyDescent="0.25">
      <c r="A19" s="16"/>
      <c r="B19" s="16"/>
    </row>
    <row r="20" spans="1:2" ht="14.5" thickBot="1" x14ac:dyDescent="0.3">
      <c r="A20" s="17" t="s">
        <v>607</v>
      </c>
      <c r="B20" s="16"/>
    </row>
    <row r="21" spans="1:2" ht="14" x14ac:dyDescent="0.25">
      <c r="A21" s="19" t="s">
        <v>608</v>
      </c>
      <c r="B21" s="55">
        <v>86400</v>
      </c>
    </row>
    <row r="22" spans="1:2" ht="14.5" thickBot="1" x14ac:dyDescent="0.3">
      <c r="A22" s="24" t="s">
        <v>609</v>
      </c>
      <c r="B22" s="59">
        <v>277.77776999999998</v>
      </c>
    </row>
    <row r="23" spans="1:2" ht="12" thickBot="1" x14ac:dyDescent="0.3">
      <c r="A23" s="8"/>
      <c r="B23" s="8"/>
    </row>
    <row r="24" spans="1:2" ht="14" x14ac:dyDescent="0.25">
      <c r="A24" s="19" t="s">
        <v>610</v>
      </c>
      <c r="B24" s="55">
        <v>20</v>
      </c>
    </row>
    <row r="25" spans="1:2" ht="14.5" thickBot="1" x14ac:dyDescent="0.3">
      <c r="A25" s="24" t="s">
        <v>611</v>
      </c>
      <c r="B25" s="59">
        <v>100</v>
      </c>
    </row>
    <row r="26" spans="1:2" ht="12" thickBot="1" x14ac:dyDescent="0.3">
      <c r="A26" s="8"/>
      <c r="B26" s="8"/>
    </row>
    <row r="27" spans="1:2" ht="14.5" thickBot="1" x14ac:dyDescent="0.3">
      <c r="A27" s="81" t="s">
        <v>612</v>
      </c>
      <c r="B27" s="82">
        <v>1.0549999999999999</v>
      </c>
    </row>
  </sheetData>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Plan</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150</IndustryCode>
    <CaseStatus xmlns="dc463f71-b30c-4ab2-9473-d307f9d35888">Pending</CaseStatus>
    <OpenedDate xmlns="dc463f71-b30c-4ab2-9473-d307f9d35888">2022-04-01T07:00:00+00:00</OpenedDate>
    <SignificantOrder xmlns="dc463f71-b30c-4ab2-9473-d307f9d35888">false</SignificantOrder>
    <Date1 xmlns="dc463f71-b30c-4ab2-9473-d307f9d35888">2023-03-31T07:00:00+00:00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220242</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72F14EA2B9EE428AF433310822FD06" ma:contentTypeVersion="28" ma:contentTypeDescription="" ma:contentTypeScope="" ma:versionID="ee881b7aee8e4a8cebd288ae31a3109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CB814F-BFCD-442E-8443-58260B7CEFEF}">
  <ds:schemaRef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899b08d5-b9c9-4dfb-aa56-b167482f5e9a"/>
    <ds:schemaRef ds:uri="http://www.w3.org/XML/1998/namespace"/>
  </ds:schemaRefs>
</ds:datastoreItem>
</file>

<file path=customXml/itemProps2.xml><?xml version="1.0" encoding="utf-8"?>
<ds:datastoreItem xmlns:ds="http://schemas.openxmlformats.org/officeDocument/2006/customXml" ds:itemID="{E50F54E9-C15E-4079-8C68-9DA8D610BA4F}">
  <ds:schemaRefs>
    <ds:schemaRef ds:uri="http://schemas.microsoft.com/sharepoint/v3/contenttype/forms"/>
  </ds:schemaRefs>
</ds:datastoreItem>
</file>

<file path=customXml/itemProps3.xml><?xml version="1.0" encoding="utf-8"?>
<ds:datastoreItem xmlns:ds="http://schemas.openxmlformats.org/officeDocument/2006/customXml" ds:itemID="{BBBD17B2-950D-46B4-9DD3-92A6FBD37124}"/>
</file>

<file path=customXml/itemProps4.xml><?xml version="1.0" encoding="utf-8"?>
<ds:datastoreItem xmlns:ds="http://schemas.openxmlformats.org/officeDocument/2006/customXml" ds:itemID="{E8208EB8-0339-490C-9DA8-3474C230BB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Charts</vt:lpstr>
      </vt:variant>
      <vt:variant>
        <vt:i4>1</vt:i4>
      </vt:variant>
    </vt:vector>
  </HeadingPairs>
  <TitlesOfParts>
    <vt:vector size="17" baseType="lpstr">
      <vt:lpstr>REDACTED</vt:lpstr>
      <vt:lpstr>Green H2 for 2023 IRP</vt:lpstr>
      <vt:lpstr>Costs for IRP Book</vt:lpstr>
      <vt:lpstr>EastWest Cascades Med</vt:lpstr>
      <vt:lpstr>deflator data</vt:lpstr>
      <vt:lpstr>E3 Workbook=&gt;</vt:lpstr>
      <vt:lpstr>Cover</vt:lpstr>
      <vt:lpstr>Pathways</vt:lpstr>
      <vt:lpstr>PNW_solar_cost_data</vt:lpstr>
      <vt:lpstr>Cost and Efficiency Data (R)</vt:lpstr>
      <vt:lpstr>Fischer Tropsch Data</vt:lpstr>
      <vt:lpstr>DAC data</vt:lpstr>
      <vt:lpstr>BNEF H2 and Syngas Cost</vt:lpstr>
      <vt:lpstr>References</vt:lpstr>
      <vt:lpstr>Dropdowns</vt:lpstr>
      <vt:lpstr>Conversion Constants</vt:lpstr>
      <vt:lpstr>Chart1</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0x0101006E56B4D1795A2E4DB2F0B01679ED314A007472F14EA2B9EE428AF433310822FD06</vt:lpwstr>
  </property>
  <property fmtid="{D5CDD505-2E9C-101B-9397-08002B2CF9AE}" pid="3" name="_docset_NoMedatataSyncRequired">
    <vt:lpwstr>False</vt:lpwstr>
  </property>
  <property fmtid="{D5CDD505-2E9C-101B-9397-08002B2CF9AE}" pid="4" name="IsEFSEC">
    <vt:bool>false</vt:bool>
  </property>
</Properties>
</file>